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830"/>
  <workbookPr/>
  <mc:AlternateContent xmlns:mc="http://schemas.openxmlformats.org/markup-compatibility/2006">
    <mc:Choice Requires="x15">
      <x15ac:absPath xmlns:x15ac="http://schemas.microsoft.com/office/spreadsheetml/2010/11/ac" url="D:\GARANT projekt disk\GP DISK\Zakázky\Zakázky_2023\SAKO-Autodílna, Zastřešení myčky\03_Odevzdání\DPS\edit\V_Soupis staveb. prací, dodáv. a služ. s VV\"/>
    </mc:Choice>
  </mc:AlternateContent>
  <xr:revisionPtr revIDLastSave="0" documentId="13_ncr:1_{DA5183EF-67F7-4A7C-A2FE-D96A74001292}" xr6:coauthVersionLast="47" xr6:coauthVersionMax="47" xr10:uidLastSave="{00000000-0000-0000-0000-000000000000}"/>
  <bookViews>
    <workbookView xWindow="-120" yWindow="-120" windowWidth="29040" windowHeight="15720" xr2:uid="{00000000-000D-0000-FFFF-FFFF00000000}"/>
  </bookViews>
  <sheets>
    <sheet name="Krycí list rozpočtu" sheetId="3" r:id="rId1"/>
    <sheet name="Stavební rozpočet - součet" sheetId="2" r:id="rId2"/>
    <sheet name="Stavební rozpočet" sheetId="1" r:id="rId3"/>
    <sheet name="VORN" sheetId="4" state="hidden" r:id="rId4"/>
  </sheets>
  <definedNames>
    <definedName name="vorn_sum">VORN!$I$45</definedName>
  </definedNames>
  <calcPr calcId="181029"/>
</workbook>
</file>

<file path=xl/calcChain.xml><?xml version="1.0" encoding="utf-8"?>
<calcChain xmlns="http://schemas.openxmlformats.org/spreadsheetml/2006/main">
  <c r="F44" i="4" l="1"/>
  <c r="I44" i="4" s="1"/>
  <c r="F43" i="4"/>
  <c r="I43" i="4" s="1"/>
  <c r="F42" i="4"/>
  <c r="I42" i="4" s="1"/>
  <c r="F41" i="4"/>
  <c r="I41" i="4" s="1"/>
  <c r="F40" i="4"/>
  <c r="I40" i="4" s="1"/>
  <c r="F39" i="4"/>
  <c r="I39" i="4" s="1"/>
  <c r="F38" i="4"/>
  <c r="I38" i="4" s="1"/>
  <c r="F36" i="4"/>
  <c r="I36" i="4" s="1"/>
  <c r="F35" i="4"/>
  <c r="I35" i="4" s="1"/>
  <c r="I26" i="4"/>
  <c r="I19" i="3" s="1"/>
  <c r="I25" i="4"/>
  <c r="I18" i="3" s="1"/>
  <c r="I24" i="4"/>
  <c r="I17" i="3" s="1"/>
  <c r="I23" i="4"/>
  <c r="I16" i="3" s="1"/>
  <c r="I22" i="4"/>
  <c r="I15" i="3" s="1"/>
  <c r="I21" i="4"/>
  <c r="I17" i="4"/>
  <c r="F16" i="3" s="1"/>
  <c r="I16" i="4"/>
  <c r="F15" i="3" s="1"/>
  <c r="I15" i="4"/>
  <c r="F14" i="3" s="1"/>
  <c r="I10" i="4"/>
  <c r="F10" i="4"/>
  <c r="C10" i="4"/>
  <c r="F8" i="4"/>
  <c r="C8" i="4"/>
  <c r="F6" i="4"/>
  <c r="C6" i="4"/>
  <c r="F4" i="4"/>
  <c r="C4" i="4"/>
  <c r="F2" i="4"/>
  <c r="C2" i="4"/>
  <c r="I10" i="3"/>
  <c r="F10" i="3"/>
  <c r="C10" i="3"/>
  <c r="F8" i="3"/>
  <c r="C8" i="3"/>
  <c r="F6" i="3"/>
  <c r="C6" i="3"/>
  <c r="F4" i="3"/>
  <c r="C4" i="3"/>
  <c r="F2" i="3"/>
  <c r="C2" i="3"/>
  <c r="I101" i="2"/>
  <c r="I100" i="2"/>
  <c r="I83" i="2"/>
  <c r="I77" i="2"/>
  <c r="I75" i="2"/>
  <c r="I64" i="2"/>
  <c r="I56" i="2"/>
  <c r="I23" i="2"/>
  <c r="I11" i="2"/>
  <c r="G8" i="2"/>
  <c r="C8" i="2"/>
  <c r="G6" i="2"/>
  <c r="C6" i="2"/>
  <c r="G4" i="2"/>
  <c r="C4" i="2"/>
  <c r="G2" i="2"/>
  <c r="C2" i="2"/>
  <c r="BO1239" i="1"/>
  <c r="BJ1239" i="1"/>
  <c r="BH1239" i="1"/>
  <c r="BF1239" i="1"/>
  <c r="BD1239" i="1"/>
  <c r="AP1239" i="1"/>
  <c r="I1239" i="1" s="1"/>
  <c r="AO1239" i="1"/>
  <c r="AW1239" i="1" s="1"/>
  <c r="AK1239" i="1"/>
  <c r="AJ1239" i="1"/>
  <c r="AH1239" i="1"/>
  <c r="AG1239" i="1"/>
  <c r="AF1239" i="1"/>
  <c r="AE1239" i="1"/>
  <c r="AD1239" i="1"/>
  <c r="AC1239" i="1"/>
  <c r="AB1239" i="1"/>
  <c r="Z1239" i="1"/>
  <c r="J1239" i="1"/>
  <c r="AL1239" i="1" s="1"/>
  <c r="BO1238" i="1"/>
  <c r="BJ1238" i="1"/>
  <c r="BF1238" i="1"/>
  <c r="BD1238" i="1"/>
  <c r="AX1238" i="1"/>
  <c r="AP1238" i="1"/>
  <c r="BI1238" i="1" s="1"/>
  <c r="AO1238" i="1"/>
  <c r="BH1238" i="1" s="1"/>
  <c r="AK1238" i="1"/>
  <c r="AJ1238" i="1"/>
  <c r="AH1238" i="1"/>
  <c r="AG1238" i="1"/>
  <c r="AF1238" i="1"/>
  <c r="AE1238" i="1"/>
  <c r="AD1238" i="1"/>
  <c r="AC1238" i="1"/>
  <c r="AB1238" i="1"/>
  <c r="Z1238" i="1"/>
  <c r="J1238" i="1"/>
  <c r="AL1238" i="1" s="1"/>
  <c r="I1238" i="1"/>
  <c r="BO1237" i="1"/>
  <c r="BJ1237" i="1"/>
  <c r="BF1237" i="1"/>
  <c r="BD1237" i="1"/>
  <c r="AP1237" i="1"/>
  <c r="AO1237" i="1"/>
  <c r="AW1237" i="1" s="1"/>
  <c r="AK1237" i="1"/>
  <c r="AJ1237" i="1"/>
  <c r="AH1237" i="1"/>
  <c r="AG1237" i="1"/>
  <c r="AF1237" i="1"/>
  <c r="AE1237" i="1"/>
  <c r="AD1237" i="1"/>
  <c r="AC1237" i="1"/>
  <c r="AB1237" i="1"/>
  <c r="Z1237" i="1"/>
  <c r="J1237" i="1"/>
  <c r="AL1237" i="1" s="1"/>
  <c r="BO1236" i="1"/>
  <c r="BJ1236" i="1"/>
  <c r="BF1236" i="1"/>
  <c r="BD1236" i="1"/>
  <c r="AX1236" i="1"/>
  <c r="AP1236" i="1"/>
  <c r="BI1236" i="1" s="1"/>
  <c r="AO1236" i="1"/>
  <c r="AK1236" i="1"/>
  <c r="AJ1236" i="1"/>
  <c r="AH1236" i="1"/>
  <c r="AG1236" i="1"/>
  <c r="AF1236" i="1"/>
  <c r="AE1236" i="1"/>
  <c r="AD1236" i="1"/>
  <c r="AC1236" i="1"/>
  <c r="AB1236" i="1"/>
  <c r="Z1236" i="1"/>
  <c r="J1236" i="1"/>
  <c r="AL1236" i="1" s="1"/>
  <c r="I1236" i="1"/>
  <c r="BO1235" i="1"/>
  <c r="BJ1235" i="1"/>
  <c r="BI1235" i="1"/>
  <c r="BF1235" i="1"/>
  <c r="BD1235" i="1"/>
  <c r="AP1235" i="1"/>
  <c r="I1235" i="1" s="1"/>
  <c r="AO1235" i="1"/>
  <c r="AK1235" i="1"/>
  <c r="AJ1235" i="1"/>
  <c r="AH1235" i="1"/>
  <c r="AG1235" i="1"/>
  <c r="AF1235" i="1"/>
  <c r="AE1235" i="1"/>
  <c r="AD1235" i="1"/>
  <c r="AC1235" i="1"/>
  <c r="AB1235" i="1"/>
  <c r="Z1235" i="1"/>
  <c r="J1235" i="1"/>
  <c r="AL1235" i="1" s="1"/>
  <c r="BO1234" i="1"/>
  <c r="BJ1234" i="1"/>
  <c r="BF1234" i="1"/>
  <c r="BD1234" i="1"/>
  <c r="AX1234" i="1"/>
  <c r="AP1234" i="1"/>
  <c r="BI1234" i="1" s="1"/>
  <c r="AO1234" i="1"/>
  <c r="BH1234" i="1" s="1"/>
  <c r="AK1234" i="1"/>
  <c r="AJ1234" i="1"/>
  <c r="AH1234" i="1"/>
  <c r="AG1234" i="1"/>
  <c r="AF1234" i="1"/>
  <c r="AE1234" i="1"/>
  <c r="AD1234" i="1"/>
  <c r="AC1234" i="1"/>
  <c r="AB1234" i="1"/>
  <c r="Z1234" i="1"/>
  <c r="J1234" i="1"/>
  <c r="AL1234" i="1" s="1"/>
  <c r="I1234" i="1"/>
  <c r="H1234" i="1"/>
  <c r="BO1233" i="1"/>
  <c r="BJ1233" i="1"/>
  <c r="BH1233" i="1"/>
  <c r="BF1233" i="1"/>
  <c r="BD1233" i="1"/>
  <c r="AX1233" i="1"/>
  <c r="AV1233" i="1" s="1"/>
  <c r="AP1233" i="1"/>
  <c r="BI1233" i="1" s="1"/>
  <c r="AO1233" i="1"/>
  <c r="AW1233" i="1" s="1"/>
  <c r="AK1233" i="1"/>
  <c r="AJ1233" i="1"/>
  <c r="AH1233" i="1"/>
  <c r="AG1233" i="1"/>
  <c r="AF1233" i="1"/>
  <c r="AE1233" i="1"/>
  <c r="AD1233" i="1"/>
  <c r="AC1233" i="1"/>
  <c r="AB1233" i="1"/>
  <c r="Z1233" i="1"/>
  <c r="J1233" i="1"/>
  <c r="AL1233" i="1" s="1"/>
  <c r="BO1232" i="1"/>
  <c r="BJ1232" i="1"/>
  <c r="BF1232" i="1"/>
  <c r="BD1232" i="1"/>
  <c r="AX1232" i="1"/>
  <c r="AP1232" i="1"/>
  <c r="BI1232" i="1" s="1"/>
  <c r="AO1232" i="1"/>
  <c r="AL1232" i="1"/>
  <c r="AK1232" i="1"/>
  <c r="AJ1232" i="1"/>
  <c r="AH1232" i="1"/>
  <c r="AG1232" i="1"/>
  <c r="AF1232" i="1"/>
  <c r="AE1232" i="1"/>
  <c r="AD1232" i="1"/>
  <c r="AC1232" i="1"/>
  <c r="AB1232" i="1"/>
  <c r="Z1232" i="1"/>
  <c r="J1232" i="1"/>
  <c r="I1232" i="1"/>
  <c r="BO1231" i="1"/>
  <c r="BJ1231" i="1"/>
  <c r="BF1231" i="1"/>
  <c r="BD1231" i="1"/>
  <c r="AP1231" i="1"/>
  <c r="AO1231" i="1"/>
  <c r="AK1231" i="1"/>
  <c r="AJ1231" i="1"/>
  <c r="AH1231" i="1"/>
  <c r="AG1231" i="1"/>
  <c r="AF1231" i="1"/>
  <c r="AE1231" i="1"/>
  <c r="AD1231" i="1"/>
  <c r="AC1231" i="1"/>
  <c r="AB1231" i="1"/>
  <c r="Z1231" i="1"/>
  <c r="J1231" i="1"/>
  <c r="AL1231" i="1" s="1"/>
  <c r="BO1230" i="1"/>
  <c r="F37" i="4" s="1"/>
  <c r="I37" i="4" s="1"/>
  <c r="BJ1230" i="1"/>
  <c r="BH1230" i="1"/>
  <c r="BF1230" i="1"/>
  <c r="BD1230" i="1"/>
  <c r="AX1230" i="1"/>
  <c r="AW1230" i="1"/>
  <c r="AP1230" i="1"/>
  <c r="BI1230" i="1" s="1"/>
  <c r="AO1230" i="1"/>
  <c r="H1230" i="1" s="1"/>
  <c r="AK1230" i="1"/>
  <c r="AJ1230" i="1"/>
  <c r="AH1230" i="1"/>
  <c r="AG1230" i="1"/>
  <c r="AF1230" i="1"/>
  <c r="AE1230" i="1"/>
  <c r="AD1230" i="1"/>
  <c r="AC1230" i="1"/>
  <c r="AB1230" i="1"/>
  <c r="Z1230" i="1"/>
  <c r="J1230" i="1"/>
  <c r="AL1230" i="1" s="1"/>
  <c r="BO1229" i="1"/>
  <c r="BJ1229" i="1"/>
  <c r="BF1229" i="1"/>
  <c r="BD1229" i="1"/>
  <c r="AX1229" i="1"/>
  <c r="AP1229" i="1"/>
  <c r="BI1229" i="1" s="1"/>
  <c r="AO1229" i="1"/>
  <c r="AK1229" i="1"/>
  <c r="AJ1229" i="1"/>
  <c r="AH1229" i="1"/>
  <c r="AG1229" i="1"/>
  <c r="AF1229" i="1"/>
  <c r="AE1229" i="1"/>
  <c r="AD1229" i="1"/>
  <c r="AC1229" i="1"/>
  <c r="AB1229" i="1"/>
  <c r="Z1229" i="1"/>
  <c r="J1229" i="1"/>
  <c r="AL1229" i="1" s="1"/>
  <c r="BO1228" i="1"/>
  <c r="BJ1228" i="1"/>
  <c r="BF1228" i="1"/>
  <c r="BD1228" i="1"/>
  <c r="AP1228" i="1"/>
  <c r="AO1228" i="1"/>
  <c r="AW1228" i="1" s="1"/>
  <c r="AK1228" i="1"/>
  <c r="AJ1228" i="1"/>
  <c r="AH1228" i="1"/>
  <c r="AG1228" i="1"/>
  <c r="AF1228" i="1"/>
  <c r="AE1228" i="1"/>
  <c r="AD1228" i="1"/>
  <c r="AC1228" i="1"/>
  <c r="AB1228" i="1"/>
  <c r="Z1228" i="1"/>
  <c r="J1228" i="1"/>
  <c r="BO1227" i="1"/>
  <c r="BJ1227" i="1"/>
  <c r="BH1227" i="1"/>
  <c r="BF1227" i="1"/>
  <c r="BD1227" i="1"/>
  <c r="AP1227" i="1"/>
  <c r="I1227" i="1" s="1"/>
  <c r="AO1227" i="1"/>
  <c r="AW1227" i="1" s="1"/>
  <c r="AK1227" i="1"/>
  <c r="AJ1227" i="1"/>
  <c r="AH1227" i="1"/>
  <c r="AG1227" i="1"/>
  <c r="AF1227" i="1"/>
  <c r="AE1227" i="1"/>
  <c r="AD1227" i="1"/>
  <c r="AC1227" i="1"/>
  <c r="AB1227" i="1"/>
  <c r="Z1227" i="1"/>
  <c r="J1227" i="1"/>
  <c r="AL1227" i="1" s="1"/>
  <c r="BJ1223" i="1"/>
  <c r="BI1223" i="1"/>
  <c r="AG1223" i="1" s="1"/>
  <c r="BF1223" i="1"/>
  <c r="BD1223" i="1"/>
  <c r="AW1223" i="1"/>
  <c r="AP1223" i="1"/>
  <c r="AX1223" i="1" s="1"/>
  <c r="AO1223" i="1"/>
  <c r="BH1223" i="1" s="1"/>
  <c r="AF1223" i="1" s="1"/>
  <c r="AK1223" i="1"/>
  <c r="AJ1223" i="1"/>
  <c r="AH1223" i="1"/>
  <c r="AE1223" i="1"/>
  <c r="AD1223" i="1"/>
  <c r="AC1223" i="1"/>
  <c r="AB1223" i="1"/>
  <c r="Z1223" i="1"/>
  <c r="J1223" i="1"/>
  <c r="AL1223" i="1" s="1"/>
  <c r="I1223" i="1"/>
  <c r="H1223" i="1"/>
  <c r="BJ1222" i="1"/>
  <c r="BH1222" i="1"/>
  <c r="BF1222" i="1"/>
  <c r="BD1222" i="1"/>
  <c r="AX1222" i="1"/>
  <c r="AV1222" i="1" s="1"/>
  <c r="AP1222" i="1"/>
  <c r="BI1222" i="1" s="1"/>
  <c r="AG1222" i="1" s="1"/>
  <c r="AO1222" i="1"/>
  <c r="AW1222" i="1" s="1"/>
  <c r="AL1222" i="1"/>
  <c r="AK1222" i="1"/>
  <c r="AJ1222" i="1"/>
  <c r="AH1222" i="1"/>
  <c r="AF1222" i="1"/>
  <c r="AE1222" i="1"/>
  <c r="AD1222" i="1"/>
  <c r="AC1222" i="1"/>
  <c r="AB1222" i="1"/>
  <c r="Z1222" i="1"/>
  <c r="J1222" i="1"/>
  <c r="H1222" i="1"/>
  <c r="BJ1221" i="1"/>
  <c r="BI1221" i="1"/>
  <c r="AG1221" i="1" s="1"/>
  <c r="BF1221" i="1"/>
  <c r="BD1221" i="1"/>
  <c r="AP1221" i="1"/>
  <c r="AX1221" i="1" s="1"/>
  <c r="AO1221" i="1"/>
  <c r="H1221" i="1" s="1"/>
  <c r="AL1221" i="1"/>
  <c r="AK1221" i="1"/>
  <c r="AJ1221" i="1"/>
  <c r="AH1221" i="1"/>
  <c r="AE1221" i="1"/>
  <c r="AD1221" i="1"/>
  <c r="AC1221" i="1"/>
  <c r="AB1221" i="1"/>
  <c r="Z1221" i="1"/>
  <c r="J1221" i="1"/>
  <c r="BJ1220" i="1"/>
  <c r="BI1220" i="1"/>
  <c r="AG1220" i="1" s="1"/>
  <c r="BF1220" i="1"/>
  <c r="BD1220" i="1"/>
  <c r="AP1220" i="1"/>
  <c r="I1220" i="1" s="1"/>
  <c r="AO1220" i="1"/>
  <c r="AW1220" i="1" s="1"/>
  <c r="AK1220" i="1"/>
  <c r="AJ1220" i="1"/>
  <c r="AH1220" i="1"/>
  <c r="AE1220" i="1"/>
  <c r="AD1220" i="1"/>
  <c r="AC1220" i="1"/>
  <c r="AB1220" i="1"/>
  <c r="Z1220" i="1"/>
  <c r="J1220" i="1"/>
  <c r="AL1220" i="1" s="1"/>
  <c r="BJ1219" i="1"/>
  <c r="BF1219" i="1"/>
  <c r="BD1219" i="1"/>
  <c r="AP1219" i="1"/>
  <c r="AX1219" i="1" s="1"/>
  <c r="AO1219" i="1"/>
  <c r="BH1219" i="1" s="1"/>
  <c r="AF1219" i="1" s="1"/>
  <c r="AK1219" i="1"/>
  <c r="AJ1219" i="1"/>
  <c r="AH1219" i="1"/>
  <c r="AE1219" i="1"/>
  <c r="AD1219" i="1"/>
  <c r="AC1219" i="1"/>
  <c r="AB1219" i="1"/>
  <c r="Z1219" i="1"/>
  <c r="J1219" i="1"/>
  <c r="AL1219" i="1" s="1"/>
  <c r="I1219" i="1"/>
  <c r="H1219" i="1"/>
  <c r="BJ1218" i="1"/>
  <c r="BH1218" i="1"/>
  <c r="AF1218" i="1" s="1"/>
  <c r="BF1218" i="1"/>
  <c r="BD1218" i="1"/>
  <c r="AX1218" i="1"/>
  <c r="AV1218" i="1" s="1"/>
  <c r="AW1218" i="1"/>
  <c r="AP1218" i="1"/>
  <c r="BI1218" i="1" s="1"/>
  <c r="AG1218" i="1" s="1"/>
  <c r="AO1218" i="1"/>
  <c r="AK1218" i="1"/>
  <c r="AJ1218" i="1"/>
  <c r="AH1218" i="1"/>
  <c r="AE1218" i="1"/>
  <c r="AD1218" i="1"/>
  <c r="AC1218" i="1"/>
  <c r="AB1218" i="1"/>
  <c r="Z1218" i="1"/>
  <c r="J1218" i="1"/>
  <c r="I1218" i="1"/>
  <c r="H1218" i="1"/>
  <c r="BJ1216" i="1"/>
  <c r="BF1216" i="1"/>
  <c r="BD1216" i="1"/>
  <c r="AP1216" i="1"/>
  <c r="AX1216" i="1" s="1"/>
  <c r="AO1216" i="1"/>
  <c r="BH1216" i="1" s="1"/>
  <c r="AF1216" i="1" s="1"/>
  <c r="AL1216" i="1"/>
  <c r="AK1216" i="1"/>
  <c r="AJ1216" i="1"/>
  <c r="AH1216" i="1"/>
  <c r="AE1216" i="1"/>
  <c r="AD1216" i="1"/>
  <c r="AC1216" i="1"/>
  <c r="AB1216" i="1"/>
  <c r="Z1216" i="1"/>
  <c r="J1216" i="1"/>
  <c r="I1216" i="1"/>
  <c r="H1216" i="1"/>
  <c r="BJ1215" i="1"/>
  <c r="BF1215" i="1"/>
  <c r="BD1215" i="1"/>
  <c r="AP1215" i="1"/>
  <c r="AO1215" i="1"/>
  <c r="BH1215" i="1" s="1"/>
  <c r="AF1215" i="1" s="1"/>
  <c r="AK1215" i="1"/>
  <c r="AJ1215" i="1"/>
  <c r="AH1215" i="1"/>
  <c r="AE1215" i="1"/>
  <c r="AD1215" i="1"/>
  <c r="AC1215" i="1"/>
  <c r="AB1215" i="1"/>
  <c r="Z1215" i="1"/>
  <c r="J1215" i="1"/>
  <c r="AL1215" i="1" s="1"/>
  <c r="H1215" i="1"/>
  <c r="BJ1214" i="1"/>
  <c r="BF1214" i="1"/>
  <c r="BD1214" i="1"/>
  <c r="AP1214" i="1"/>
  <c r="BI1214" i="1" s="1"/>
  <c r="AG1214" i="1" s="1"/>
  <c r="AO1214" i="1"/>
  <c r="BH1214" i="1" s="1"/>
  <c r="AF1214" i="1" s="1"/>
  <c r="AK1214" i="1"/>
  <c r="AJ1214" i="1"/>
  <c r="AH1214" i="1"/>
  <c r="AE1214" i="1"/>
  <c r="AD1214" i="1"/>
  <c r="AC1214" i="1"/>
  <c r="AB1214" i="1"/>
  <c r="Z1214" i="1"/>
  <c r="J1214" i="1"/>
  <c r="AL1214" i="1" s="1"/>
  <c r="BJ1213" i="1"/>
  <c r="BF1213" i="1"/>
  <c r="BD1213" i="1"/>
  <c r="AP1213" i="1"/>
  <c r="BI1213" i="1" s="1"/>
  <c r="AG1213" i="1" s="1"/>
  <c r="AO1213" i="1"/>
  <c r="AK1213" i="1"/>
  <c r="AJ1213" i="1"/>
  <c r="AH1213" i="1"/>
  <c r="AE1213" i="1"/>
  <c r="AD1213" i="1"/>
  <c r="AC1213" i="1"/>
  <c r="AB1213" i="1"/>
  <c r="Z1213" i="1"/>
  <c r="J1213" i="1"/>
  <c r="AL1213" i="1" s="1"/>
  <c r="BJ1212" i="1"/>
  <c r="BH1212" i="1"/>
  <c r="AF1212" i="1" s="1"/>
  <c r="BF1212" i="1"/>
  <c r="BD1212" i="1"/>
  <c r="AP1212" i="1"/>
  <c r="AX1212" i="1" s="1"/>
  <c r="AO1212" i="1"/>
  <c r="H1212" i="1" s="1"/>
  <c r="AL1212" i="1"/>
  <c r="AK1212" i="1"/>
  <c r="AJ1212" i="1"/>
  <c r="AH1212" i="1"/>
  <c r="AE1212" i="1"/>
  <c r="AD1212" i="1"/>
  <c r="AC1212" i="1"/>
  <c r="AB1212" i="1"/>
  <c r="Z1212" i="1"/>
  <c r="J1212" i="1"/>
  <c r="I1212" i="1"/>
  <c r="BJ1211" i="1"/>
  <c r="BF1211" i="1"/>
  <c r="BD1211" i="1"/>
  <c r="AP1211" i="1"/>
  <c r="BI1211" i="1" s="1"/>
  <c r="AG1211" i="1" s="1"/>
  <c r="AO1211" i="1"/>
  <c r="AK1211" i="1"/>
  <c r="AJ1211" i="1"/>
  <c r="AH1211" i="1"/>
  <c r="AE1211" i="1"/>
  <c r="AD1211" i="1"/>
  <c r="AC1211" i="1"/>
  <c r="AB1211" i="1"/>
  <c r="Z1211" i="1"/>
  <c r="J1211" i="1"/>
  <c r="AL1211" i="1" s="1"/>
  <c r="I1211" i="1"/>
  <c r="BJ1210" i="1"/>
  <c r="BF1210" i="1"/>
  <c r="BD1210" i="1"/>
  <c r="AP1210" i="1"/>
  <c r="I1210" i="1" s="1"/>
  <c r="AO1210" i="1"/>
  <c r="BH1210" i="1" s="1"/>
  <c r="AF1210" i="1" s="1"/>
  <c r="AK1210" i="1"/>
  <c r="AJ1210" i="1"/>
  <c r="AH1210" i="1"/>
  <c r="AE1210" i="1"/>
  <c r="AD1210" i="1"/>
  <c r="AC1210" i="1"/>
  <c r="AB1210" i="1"/>
  <c r="Z1210" i="1"/>
  <c r="J1210" i="1"/>
  <c r="AL1210" i="1" s="1"/>
  <c r="BJ1209" i="1"/>
  <c r="BF1209" i="1"/>
  <c r="BD1209" i="1"/>
  <c r="AW1209" i="1"/>
  <c r="AP1209" i="1"/>
  <c r="BI1209" i="1" s="1"/>
  <c r="AG1209" i="1" s="1"/>
  <c r="AO1209" i="1"/>
  <c r="BH1209" i="1" s="1"/>
  <c r="AF1209" i="1" s="1"/>
  <c r="AL1209" i="1"/>
  <c r="AK1209" i="1"/>
  <c r="AJ1209" i="1"/>
  <c r="AH1209" i="1"/>
  <c r="AE1209" i="1"/>
  <c r="AD1209" i="1"/>
  <c r="AC1209" i="1"/>
  <c r="AB1209" i="1"/>
  <c r="Z1209" i="1"/>
  <c r="J1209" i="1"/>
  <c r="H1209" i="1"/>
  <c r="BJ1208" i="1"/>
  <c r="BF1208" i="1"/>
  <c r="BD1208" i="1"/>
  <c r="AP1208" i="1"/>
  <c r="AO1208" i="1"/>
  <c r="H1208" i="1" s="1"/>
  <c r="AK1208" i="1"/>
  <c r="AJ1208" i="1"/>
  <c r="AH1208" i="1"/>
  <c r="AE1208" i="1"/>
  <c r="AD1208" i="1"/>
  <c r="AC1208" i="1"/>
  <c r="AB1208" i="1"/>
  <c r="Z1208" i="1"/>
  <c r="J1208" i="1"/>
  <c r="AL1208" i="1" s="1"/>
  <c r="BJ1207" i="1"/>
  <c r="BF1207" i="1"/>
  <c r="BD1207" i="1"/>
  <c r="AX1207" i="1"/>
  <c r="AP1207" i="1"/>
  <c r="I1207" i="1" s="1"/>
  <c r="AO1207" i="1"/>
  <c r="BH1207" i="1" s="1"/>
  <c r="AF1207" i="1" s="1"/>
  <c r="AK1207" i="1"/>
  <c r="AJ1207" i="1"/>
  <c r="AH1207" i="1"/>
  <c r="AE1207" i="1"/>
  <c r="AD1207" i="1"/>
  <c r="AC1207" i="1"/>
  <c r="AB1207" i="1"/>
  <c r="Z1207" i="1"/>
  <c r="J1207" i="1"/>
  <c r="AL1207" i="1" s="1"/>
  <c r="BJ1206" i="1"/>
  <c r="BF1206" i="1"/>
  <c r="BD1206" i="1"/>
  <c r="AP1206" i="1"/>
  <c r="BI1206" i="1" s="1"/>
  <c r="AG1206" i="1" s="1"/>
  <c r="AO1206" i="1"/>
  <c r="BH1206" i="1" s="1"/>
  <c r="AF1206" i="1" s="1"/>
  <c r="AK1206" i="1"/>
  <c r="AJ1206" i="1"/>
  <c r="AH1206" i="1"/>
  <c r="AE1206" i="1"/>
  <c r="AD1206" i="1"/>
  <c r="AC1206" i="1"/>
  <c r="AB1206" i="1"/>
  <c r="Z1206" i="1"/>
  <c r="J1206" i="1"/>
  <c r="AL1206" i="1" s="1"/>
  <c r="BJ1205" i="1"/>
  <c r="BI1205" i="1"/>
  <c r="AG1205" i="1" s="1"/>
  <c r="BF1205" i="1"/>
  <c r="BD1205" i="1"/>
  <c r="AW1205" i="1"/>
  <c r="AP1205" i="1"/>
  <c r="AO1205" i="1"/>
  <c r="H1205" i="1" s="1"/>
  <c r="AK1205" i="1"/>
  <c r="AJ1205" i="1"/>
  <c r="AH1205" i="1"/>
  <c r="AE1205" i="1"/>
  <c r="AD1205" i="1"/>
  <c r="AC1205" i="1"/>
  <c r="AB1205" i="1"/>
  <c r="Z1205" i="1"/>
  <c r="J1205" i="1"/>
  <c r="AL1205" i="1" s="1"/>
  <c r="BJ1204" i="1"/>
  <c r="BF1204" i="1"/>
  <c r="BD1204" i="1"/>
  <c r="AP1204" i="1"/>
  <c r="I1204" i="1" s="1"/>
  <c r="AO1204" i="1"/>
  <c r="AW1204" i="1" s="1"/>
  <c r="AK1204" i="1"/>
  <c r="AJ1204" i="1"/>
  <c r="AH1204" i="1"/>
  <c r="AE1204" i="1"/>
  <c r="AD1204" i="1"/>
  <c r="AC1204" i="1"/>
  <c r="AB1204" i="1"/>
  <c r="Z1204" i="1"/>
  <c r="J1204" i="1"/>
  <c r="AL1204" i="1" s="1"/>
  <c r="H1204" i="1"/>
  <c r="BJ1203" i="1"/>
  <c r="BF1203" i="1"/>
  <c r="BD1203" i="1"/>
  <c r="AP1203" i="1"/>
  <c r="AX1203" i="1" s="1"/>
  <c r="AO1203" i="1"/>
  <c r="AK1203" i="1"/>
  <c r="AJ1203" i="1"/>
  <c r="AH1203" i="1"/>
  <c r="AE1203" i="1"/>
  <c r="AD1203" i="1"/>
  <c r="AC1203" i="1"/>
  <c r="AB1203" i="1"/>
  <c r="Z1203" i="1"/>
  <c r="J1203" i="1"/>
  <c r="AL1203" i="1" s="1"/>
  <c r="I1203" i="1"/>
  <c r="BJ1202" i="1"/>
  <c r="BF1202" i="1"/>
  <c r="BD1202" i="1"/>
  <c r="AP1202" i="1"/>
  <c r="I1202" i="1" s="1"/>
  <c r="AO1202" i="1"/>
  <c r="BH1202" i="1" s="1"/>
  <c r="AF1202" i="1" s="1"/>
  <c r="AK1202" i="1"/>
  <c r="AJ1202" i="1"/>
  <c r="AH1202" i="1"/>
  <c r="AE1202" i="1"/>
  <c r="AD1202" i="1"/>
  <c r="AC1202" i="1"/>
  <c r="AB1202" i="1"/>
  <c r="Z1202" i="1"/>
  <c r="J1202" i="1"/>
  <c r="AL1202" i="1" s="1"/>
  <c r="BJ1201" i="1"/>
  <c r="BF1201" i="1"/>
  <c r="BD1201" i="1"/>
  <c r="AP1201" i="1"/>
  <c r="BI1201" i="1" s="1"/>
  <c r="AG1201" i="1" s="1"/>
  <c r="AO1201" i="1"/>
  <c r="BH1201" i="1" s="1"/>
  <c r="AF1201" i="1" s="1"/>
  <c r="AL1201" i="1"/>
  <c r="AK1201" i="1"/>
  <c r="AJ1201" i="1"/>
  <c r="AH1201" i="1"/>
  <c r="AE1201" i="1"/>
  <c r="AD1201" i="1"/>
  <c r="AC1201" i="1"/>
  <c r="AB1201" i="1"/>
  <c r="Z1201" i="1"/>
  <c r="J1201" i="1"/>
  <c r="I1201" i="1"/>
  <c r="H1201" i="1"/>
  <c r="BJ1200" i="1"/>
  <c r="BF1200" i="1"/>
  <c r="BD1200" i="1"/>
  <c r="AX1200" i="1"/>
  <c r="AP1200" i="1"/>
  <c r="BI1200" i="1" s="1"/>
  <c r="AG1200" i="1" s="1"/>
  <c r="AO1200" i="1"/>
  <c r="H1200" i="1" s="1"/>
  <c r="AK1200" i="1"/>
  <c r="AJ1200" i="1"/>
  <c r="AH1200" i="1"/>
  <c r="AE1200" i="1"/>
  <c r="AD1200" i="1"/>
  <c r="AC1200" i="1"/>
  <c r="AB1200" i="1"/>
  <c r="Z1200" i="1"/>
  <c r="J1200" i="1"/>
  <c r="AL1200" i="1" s="1"/>
  <c r="I1200" i="1"/>
  <c r="BJ1199" i="1"/>
  <c r="BF1199" i="1"/>
  <c r="BD1199" i="1"/>
  <c r="AX1199" i="1"/>
  <c r="AP1199" i="1"/>
  <c r="I1199" i="1" s="1"/>
  <c r="AO1199" i="1"/>
  <c r="BH1199" i="1" s="1"/>
  <c r="AF1199" i="1" s="1"/>
  <c r="AK1199" i="1"/>
  <c r="AJ1199" i="1"/>
  <c r="AH1199" i="1"/>
  <c r="AE1199" i="1"/>
  <c r="AD1199" i="1"/>
  <c r="AC1199" i="1"/>
  <c r="AB1199" i="1"/>
  <c r="Z1199" i="1"/>
  <c r="J1199" i="1"/>
  <c r="BJ1198" i="1"/>
  <c r="BH1198" i="1"/>
  <c r="AF1198" i="1" s="1"/>
  <c r="BF1198" i="1"/>
  <c r="BD1198" i="1"/>
  <c r="AP1198" i="1"/>
  <c r="BI1198" i="1" s="1"/>
  <c r="AG1198" i="1" s="1"/>
  <c r="AO1198" i="1"/>
  <c r="AK1198" i="1"/>
  <c r="AJ1198" i="1"/>
  <c r="AH1198" i="1"/>
  <c r="AE1198" i="1"/>
  <c r="AD1198" i="1"/>
  <c r="AC1198" i="1"/>
  <c r="AB1198" i="1"/>
  <c r="Z1198" i="1"/>
  <c r="J1198" i="1"/>
  <c r="AL1198" i="1" s="1"/>
  <c r="BJ1197" i="1"/>
  <c r="BF1197" i="1"/>
  <c r="BD1197" i="1"/>
  <c r="AW1197" i="1"/>
  <c r="BC1197" i="1" s="1"/>
  <c r="AP1197" i="1"/>
  <c r="AX1197" i="1" s="1"/>
  <c r="AO1197" i="1"/>
  <c r="H1197" i="1" s="1"/>
  <c r="AK1197" i="1"/>
  <c r="AJ1197" i="1"/>
  <c r="AH1197" i="1"/>
  <c r="AE1197" i="1"/>
  <c r="AD1197" i="1"/>
  <c r="AC1197" i="1"/>
  <c r="AB1197" i="1"/>
  <c r="Z1197" i="1"/>
  <c r="J1197" i="1"/>
  <c r="AL1197" i="1" s="1"/>
  <c r="BJ1195" i="1"/>
  <c r="BF1195" i="1"/>
  <c r="BD1195" i="1"/>
  <c r="AP1195" i="1"/>
  <c r="BI1195" i="1" s="1"/>
  <c r="AG1195" i="1" s="1"/>
  <c r="AO1195" i="1"/>
  <c r="AK1195" i="1"/>
  <c r="AJ1195" i="1"/>
  <c r="AH1195" i="1"/>
  <c r="AE1195" i="1"/>
  <c r="AD1195" i="1"/>
  <c r="AC1195" i="1"/>
  <c r="AB1195" i="1"/>
  <c r="Z1195" i="1"/>
  <c r="J1195" i="1"/>
  <c r="AL1195" i="1" s="1"/>
  <c r="BJ1194" i="1"/>
  <c r="BF1194" i="1"/>
  <c r="BD1194" i="1"/>
  <c r="AP1194" i="1"/>
  <c r="AX1194" i="1" s="1"/>
  <c r="AO1194" i="1"/>
  <c r="H1194" i="1" s="1"/>
  <c r="AL1194" i="1"/>
  <c r="AK1194" i="1"/>
  <c r="AJ1194" i="1"/>
  <c r="AH1194" i="1"/>
  <c r="AE1194" i="1"/>
  <c r="AD1194" i="1"/>
  <c r="AC1194" i="1"/>
  <c r="AB1194" i="1"/>
  <c r="Z1194" i="1"/>
  <c r="J1194" i="1"/>
  <c r="BJ1193" i="1"/>
  <c r="BF1193" i="1"/>
  <c r="BD1193" i="1"/>
  <c r="AX1193" i="1"/>
  <c r="AV1193" i="1" s="1"/>
  <c r="AP1193" i="1"/>
  <c r="I1193" i="1" s="1"/>
  <c r="AO1193" i="1"/>
  <c r="AW1193" i="1" s="1"/>
  <c r="AK1193" i="1"/>
  <c r="AJ1193" i="1"/>
  <c r="AH1193" i="1"/>
  <c r="AE1193" i="1"/>
  <c r="AD1193" i="1"/>
  <c r="AC1193" i="1"/>
  <c r="AB1193" i="1"/>
  <c r="Z1193" i="1"/>
  <c r="J1193" i="1"/>
  <c r="AL1193" i="1" s="1"/>
  <c r="BJ1192" i="1"/>
  <c r="BF1192" i="1"/>
  <c r="BD1192" i="1"/>
  <c r="AP1192" i="1"/>
  <c r="AO1192" i="1"/>
  <c r="AK1192" i="1"/>
  <c r="AJ1192" i="1"/>
  <c r="AH1192" i="1"/>
  <c r="AE1192" i="1"/>
  <c r="AD1192" i="1"/>
  <c r="AC1192" i="1"/>
  <c r="AB1192" i="1"/>
  <c r="Z1192" i="1"/>
  <c r="J1192" i="1"/>
  <c r="AL1192" i="1" s="1"/>
  <c r="BJ1191" i="1"/>
  <c r="BF1191" i="1"/>
  <c r="BD1191" i="1"/>
  <c r="AP1191" i="1"/>
  <c r="I1191" i="1" s="1"/>
  <c r="AO1191" i="1"/>
  <c r="BH1191" i="1" s="1"/>
  <c r="AK1191" i="1"/>
  <c r="AJ1191" i="1"/>
  <c r="AH1191" i="1"/>
  <c r="AF1191" i="1"/>
  <c r="AE1191" i="1"/>
  <c r="AD1191" i="1"/>
  <c r="AC1191" i="1"/>
  <c r="AB1191" i="1"/>
  <c r="Z1191" i="1"/>
  <c r="J1191" i="1"/>
  <c r="AL1191" i="1" s="1"/>
  <c r="H1191" i="1"/>
  <c r="BJ1190" i="1"/>
  <c r="BF1190" i="1"/>
  <c r="BD1190" i="1"/>
  <c r="AP1190" i="1"/>
  <c r="BI1190" i="1" s="1"/>
  <c r="AG1190" i="1" s="1"/>
  <c r="AO1190" i="1"/>
  <c r="AK1190" i="1"/>
  <c r="AJ1190" i="1"/>
  <c r="AH1190" i="1"/>
  <c r="AE1190" i="1"/>
  <c r="AD1190" i="1"/>
  <c r="AC1190" i="1"/>
  <c r="AB1190" i="1"/>
  <c r="Z1190" i="1"/>
  <c r="J1190" i="1"/>
  <c r="AL1190" i="1" s="1"/>
  <c r="I1190" i="1"/>
  <c r="BJ1189" i="1"/>
  <c r="BF1189" i="1"/>
  <c r="BD1189" i="1"/>
  <c r="AX1189" i="1"/>
  <c r="AP1189" i="1"/>
  <c r="BI1189" i="1" s="1"/>
  <c r="AO1189" i="1"/>
  <c r="AK1189" i="1"/>
  <c r="AJ1189" i="1"/>
  <c r="AH1189" i="1"/>
  <c r="AG1189" i="1"/>
  <c r="AE1189" i="1"/>
  <c r="AD1189" i="1"/>
  <c r="AC1189" i="1"/>
  <c r="AB1189" i="1"/>
  <c r="Z1189" i="1"/>
  <c r="J1189" i="1"/>
  <c r="AL1189" i="1" s="1"/>
  <c r="I1189" i="1"/>
  <c r="BJ1188" i="1"/>
  <c r="BF1188" i="1"/>
  <c r="BD1188" i="1"/>
  <c r="AP1188" i="1"/>
  <c r="AO1188" i="1"/>
  <c r="BH1188" i="1" s="1"/>
  <c r="AF1188" i="1" s="1"/>
  <c r="AK1188" i="1"/>
  <c r="AJ1188" i="1"/>
  <c r="AH1188" i="1"/>
  <c r="AE1188" i="1"/>
  <c r="AD1188" i="1"/>
  <c r="AC1188" i="1"/>
  <c r="AB1188" i="1"/>
  <c r="Z1188" i="1"/>
  <c r="J1188" i="1"/>
  <c r="AL1188" i="1" s="1"/>
  <c r="H1188" i="1"/>
  <c r="BJ1187" i="1"/>
  <c r="BF1187" i="1"/>
  <c r="BD1187" i="1"/>
  <c r="AX1187" i="1"/>
  <c r="AP1187" i="1"/>
  <c r="BI1187" i="1" s="1"/>
  <c r="AG1187" i="1" s="1"/>
  <c r="AO1187" i="1"/>
  <c r="AK1187" i="1"/>
  <c r="AJ1187" i="1"/>
  <c r="AH1187" i="1"/>
  <c r="AE1187" i="1"/>
  <c r="AD1187" i="1"/>
  <c r="AC1187" i="1"/>
  <c r="AB1187" i="1"/>
  <c r="Z1187" i="1"/>
  <c r="J1187" i="1"/>
  <c r="AL1187" i="1" s="1"/>
  <c r="I1187" i="1"/>
  <c r="BJ1186" i="1"/>
  <c r="BF1186" i="1"/>
  <c r="BD1186" i="1"/>
  <c r="AW1186" i="1"/>
  <c r="AP1186" i="1"/>
  <c r="AX1186" i="1" s="1"/>
  <c r="AO1186" i="1"/>
  <c r="H1186" i="1" s="1"/>
  <c r="AL1186" i="1"/>
  <c r="AK1186" i="1"/>
  <c r="AJ1186" i="1"/>
  <c r="AH1186" i="1"/>
  <c r="AE1186" i="1"/>
  <c r="AD1186" i="1"/>
  <c r="AC1186" i="1"/>
  <c r="AB1186" i="1"/>
  <c r="Z1186" i="1"/>
  <c r="J1186" i="1"/>
  <c r="BJ1184" i="1"/>
  <c r="BF1184" i="1"/>
  <c r="BD1184" i="1"/>
  <c r="AX1184" i="1"/>
  <c r="AP1184" i="1"/>
  <c r="I1184" i="1" s="1"/>
  <c r="AO1184" i="1"/>
  <c r="AW1184" i="1" s="1"/>
  <c r="AK1184" i="1"/>
  <c r="AJ1184" i="1"/>
  <c r="AH1184" i="1"/>
  <c r="AE1184" i="1"/>
  <c r="AD1184" i="1"/>
  <c r="AC1184" i="1"/>
  <c r="AB1184" i="1"/>
  <c r="Z1184" i="1"/>
  <c r="J1184" i="1"/>
  <c r="AL1184" i="1" s="1"/>
  <c r="H1184" i="1"/>
  <c r="BJ1183" i="1"/>
  <c r="BF1183" i="1"/>
  <c r="BD1183" i="1"/>
  <c r="AP1183" i="1"/>
  <c r="AX1183" i="1" s="1"/>
  <c r="AO1183" i="1"/>
  <c r="BH1183" i="1" s="1"/>
  <c r="AB1183" i="1" s="1"/>
  <c r="AK1183" i="1"/>
  <c r="AJ1183" i="1"/>
  <c r="AS1179" i="1" s="1"/>
  <c r="AH1183" i="1"/>
  <c r="AG1183" i="1"/>
  <c r="AF1183" i="1"/>
  <c r="AE1183" i="1"/>
  <c r="AD1183" i="1"/>
  <c r="Z1183" i="1"/>
  <c r="J1183" i="1"/>
  <c r="AL1183" i="1" s="1"/>
  <c r="BJ1182" i="1"/>
  <c r="BF1182" i="1"/>
  <c r="BD1182" i="1"/>
  <c r="AP1182" i="1"/>
  <c r="AO1182" i="1"/>
  <c r="AK1182" i="1"/>
  <c r="AJ1182" i="1"/>
  <c r="AH1182" i="1"/>
  <c r="AG1182" i="1"/>
  <c r="AF1182" i="1"/>
  <c r="AE1182" i="1"/>
  <c r="AD1182" i="1"/>
  <c r="Z1182" i="1"/>
  <c r="J1182" i="1"/>
  <c r="AL1182" i="1" s="1"/>
  <c r="BJ1180" i="1"/>
  <c r="BI1180" i="1"/>
  <c r="AG1180" i="1" s="1"/>
  <c r="BF1180" i="1"/>
  <c r="BD1180" i="1"/>
  <c r="AW1180" i="1"/>
  <c r="AP1180" i="1"/>
  <c r="AX1180" i="1" s="1"/>
  <c r="AO1180" i="1"/>
  <c r="BH1180" i="1" s="1"/>
  <c r="AF1180" i="1" s="1"/>
  <c r="AL1180" i="1"/>
  <c r="AK1180" i="1"/>
  <c r="AJ1180" i="1"/>
  <c r="AH1180" i="1"/>
  <c r="AE1180" i="1"/>
  <c r="AD1180" i="1"/>
  <c r="AC1180" i="1"/>
  <c r="AB1180" i="1"/>
  <c r="Z1180" i="1"/>
  <c r="J1180" i="1"/>
  <c r="H1180" i="1"/>
  <c r="BJ1178" i="1"/>
  <c r="BH1178" i="1"/>
  <c r="BF1178" i="1"/>
  <c r="BD1178" i="1"/>
  <c r="AW1178" i="1"/>
  <c r="AP1178" i="1"/>
  <c r="BI1178" i="1" s="1"/>
  <c r="AG1178" i="1" s="1"/>
  <c r="AO1178" i="1"/>
  <c r="AK1178" i="1"/>
  <c r="AJ1178" i="1"/>
  <c r="AH1178" i="1"/>
  <c r="AF1178" i="1"/>
  <c r="AE1178" i="1"/>
  <c r="AD1178" i="1"/>
  <c r="AC1178" i="1"/>
  <c r="AB1178" i="1"/>
  <c r="Z1178" i="1"/>
  <c r="J1178" i="1"/>
  <c r="AL1178" i="1" s="1"/>
  <c r="I1178" i="1"/>
  <c r="H1178" i="1"/>
  <c r="BJ1177" i="1"/>
  <c r="BF1177" i="1"/>
  <c r="BD1177" i="1"/>
  <c r="AW1177" i="1"/>
  <c r="AP1177" i="1"/>
  <c r="BI1177" i="1" s="1"/>
  <c r="AG1177" i="1" s="1"/>
  <c r="AO1177" i="1"/>
  <c r="BH1177" i="1" s="1"/>
  <c r="AK1177" i="1"/>
  <c r="AJ1177" i="1"/>
  <c r="AH1177" i="1"/>
  <c r="AF1177" i="1"/>
  <c r="AE1177" i="1"/>
  <c r="AD1177" i="1"/>
  <c r="AC1177" i="1"/>
  <c r="AB1177" i="1"/>
  <c r="Z1177" i="1"/>
  <c r="J1177" i="1"/>
  <c r="AL1177" i="1" s="1"/>
  <c r="BJ1176" i="1"/>
  <c r="BF1176" i="1"/>
  <c r="BD1176" i="1"/>
  <c r="AX1176" i="1"/>
  <c r="AW1176" i="1"/>
  <c r="BC1176" i="1" s="1"/>
  <c r="AP1176" i="1"/>
  <c r="BI1176" i="1" s="1"/>
  <c r="AG1176" i="1" s="1"/>
  <c r="AO1176" i="1"/>
  <c r="BH1176" i="1" s="1"/>
  <c r="AF1176" i="1" s="1"/>
  <c r="AK1176" i="1"/>
  <c r="AJ1176" i="1"/>
  <c r="AH1176" i="1"/>
  <c r="AE1176" i="1"/>
  <c r="AD1176" i="1"/>
  <c r="AC1176" i="1"/>
  <c r="AB1176" i="1"/>
  <c r="Z1176" i="1"/>
  <c r="J1176" i="1"/>
  <c r="H1176" i="1"/>
  <c r="BJ1175" i="1"/>
  <c r="BF1175" i="1"/>
  <c r="BD1175" i="1"/>
  <c r="AW1175" i="1"/>
  <c r="AP1175" i="1"/>
  <c r="BI1175" i="1" s="1"/>
  <c r="AG1175" i="1" s="1"/>
  <c r="AO1175" i="1"/>
  <c r="BH1175" i="1" s="1"/>
  <c r="AK1175" i="1"/>
  <c r="AJ1175" i="1"/>
  <c r="AS1172" i="1" s="1"/>
  <c r="AH1175" i="1"/>
  <c r="AF1175" i="1"/>
  <c r="AE1175" i="1"/>
  <c r="AD1175" i="1"/>
  <c r="AC1175" i="1"/>
  <c r="AB1175" i="1"/>
  <c r="Z1175" i="1"/>
  <c r="J1175" i="1"/>
  <c r="AL1175" i="1" s="1"/>
  <c r="H1175" i="1"/>
  <c r="BJ1173" i="1"/>
  <c r="BF1173" i="1"/>
  <c r="BD1173" i="1"/>
  <c r="AX1173" i="1"/>
  <c r="AW1173" i="1"/>
  <c r="AP1173" i="1"/>
  <c r="BI1173" i="1" s="1"/>
  <c r="AO1173" i="1"/>
  <c r="BH1173" i="1" s="1"/>
  <c r="AF1173" i="1" s="1"/>
  <c r="AK1173" i="1"/>
  <c r="AJ1173" i="1"/>
  <c r="AH1173" i="1"/>
  <c r="AG1173" i="1"/>
  <c r="AE1173" i="1"/>
  <c r="AD1173" i="1"/>
  <c r="AC1173" i="1"/>
  <c r="AB1173" i="1"/>
  <c r="Z1173" i="1"/>
  <c r="J1173" i="1"/>
  <c r="AL1173" i="1" s="1"/>
  <c r="I1173" i="1"/>
  <c r="H1173" i="1"/>
  <c r="BJ1171" i="1"/>
  <c r="BF1171" i="1"/>
  <c r="BD1171" i="1"/>
  <c r="AW1171" i="1"/>
  <c r="AP1171" i="1"/>
  <c r="BI1171" i="1" s="1"/>
  <c r="AG1171" i="1" s="1"/>
  <c r="AO1171" i="1"/>
  <c r="BH1171" i="1" s="1"/>
  <c r="AF1171" i="1" s="1"/>
  <c r="AK1171" i="1"/>
  <c r="AJ1171" i="1"/>
  <c r="AS1168" i="1" s="1"/>
  <c r="AH1171" i="1"/>
  <c r="AE1171" i="1"/>
  <c r="AD1171" i="1"/>
  <c r="AC1171" i="1"/>
  <c r="AB1171" i="1"/>
  <c r="Z1171" i="1"/>
  <c r="J1171" i="1"/>
  <c r="AL1171" i="1" s="1"/>
  <c r="H1171" i="1"/>
  <c r="BJ1170" i="1"/>
  <c r="BF1170" i="1"/>
  <c r="BD1170" i="1"/>
  <c r="AW1170" i="1"/>
  <c r="AP1170" i="1"/>
  <c r="BI1170" i="1" s="1"/>
  <c r="AG1170" i="1" s="1"/>
  <c r="AO1170" i="1"/>
  <c r="BH1170" i="1" s="1"/>
  <c r="AF1170" i="1" s="1"/>
  <c r="AK1170" i="1"/>
  <c r="AT1168" i="1" s="1"/>
  <c r="AJ1170" i="1"/>
  <c r="AH1170" i="1"/>
  <c r="AE1170" i="1"/>
  <c r="AD1170" i="1"/>
  <c r="AC1170" i="1"/>
  <c r="AB1170" i="1"/>
  <c r="Z1170" i="1"/>
  <c r="J1170" i="1"/>
  <c r="AL1170" i="1" s="1"/>
  <c r="I1170" i="1"/>
  <c r="H1170" i="1"/>
  <c r="BJ1169" i="1"/>
  <c r="BF1169" i="1"/>
  <c r="BD1169" i="1"/>
  <c r="AW1169" i="1"/>
  <c r="AP1169" i="1"/>
  <c r="BI1169" i="1" s="1"/>
  <c r="AG1169" i="1" s="1"/>
  <c r="AO1169" i="1"/>
  <c r="H1169" i="1" s="1"/>
  <c r="H1168" i="1" s="1"/>
  <c r="E95" i="2" s="1"/>
  <c r="AK1169" i="1"/>
  <c r="AJ1169" i="1"/>
  <c r="AH1169" i="1"/>
  <c r="AE1169" i="1"/>
  <c r="AD1169" i="1"/>
  <c r="AC1169" i="1"/>
  <c r="AB1169" i="1"/>
  <c r="Z1169" i="1"/>
  <c r="J1169" i="1"/>
  <c r="I1169" i="1"/>
  <c r="BJ1167" i="1"/>
  <c r="BF1167" i="1"/>
  <c r="BD1167" i="1"/>
  <c r="AW1167" i="1"/>
  <c r="AP1167" i="1"/>
  <c r="BI1167" i="1" s="1"/>
  <c r="AG1167" i="1" s="1"/>
  <c r="AO1167" i="1"/>
  <c r="BH1167" i="1" s="1"/>
  <c r="AF1167" i="1" s="1"/>
  <c r="AK1167" i="1"/>
  <c r="AJ1167" i="1"/>
  <c r="AH1167" i="1"/>
  <c r="AE1167" i="1"/>
  <c r="AD1167" i="1"/>
  <c r="AC1167" i="1"/>
  <c r="AB1167" i="1"/>
  <c r="Z1167" i="1"/>
  <c r="J1167" i="1"/>
  <c r="AL1167" i="1" s="1"/>
  <c r="I1167" i="1"/>
  <c r="H1167" i="1"/>
  <c r="BJ1166" i="1"/>
  <c r="BF1166" i="1"/>
  <c r="BD1166" i="1"/>
  <c r="AX1166" i="1"/>
  <c r="AW1166" i="1"/>
  <c r="AP1166" i="1"/>
  <c r="BI1166" i="1" s="1"/>
  <c r="AG1166" i="1" s="1"/>
  <c r="AO1166" i="1"/>
  <c r="H1166" i="1" s="1"/>
  <c r="AK1166" i="1"/>
  <c r="AJ1166" i="1"/>
  <c r="AH1166" i="1"/>
  <c r="AE1166" i="1"/>
  <c r="AD1166" i="1"/>
  <c r="AC1166" i="1"/>
  <c r="AB1166" i="1"/>
  <c r="Z1166" i="1"/>
  <c r="J1166" i="1"/>
  <c r="AL1166" i="1" s="1"/>
  <c r="I1166" i="1"/>
  <c r="BJ1165" i="1"/>
  <c r="BF1165" i="1"/>
  <c r="BD1165" i="1"/>
  <c r="AX1165" i="1"/>
  <c r="AP1165" i="1"/>
  <c r="I1165" i="1" s="1"/>
  <c r="AO1165" i="1"/>
  <c r="AK1165" i="1"/>
  <c r="AJ1165" i="1"/>
  <c r="AH1165" i="1"/>
  <c r="AE1165" i="1"/>
  <c r="AD1165" i="1"/>
  <c r="AC1165" i="1"/>
  <c r="AB1165" i="1"/>
  <c r="Z1165" i="1"/>
  <c r="J1165" i="1"/>
  <c r="AL1165" i="1" s="1"/>
  <c r="BJ1164" i="1"/>
  <c r="BI1164" i="1"/>
  <c r="AG1164" i="1" s="1"/>
  <c r="BF1164" i="1"/>
  <c r="BD1164" i="1"/>
  <c r="AP1164" i="1"/>
  <c r="AO1164" i="1"/>
  <c r="AW1164" i="1" s="1"/>
  <c r="AK1164" i="1"/>
  <c r="AJ1164" i="1"/>
  <c r="AH1164" i="1"/>
  <c r="AE1164" i="1"/>
  <c r="AD1164" i="1"/>
  <c r="AC1164" i="1"/>
  <c r="AB1164" i="1"/>
  <c r="Z1164" i="1"/>
  <c r="J1164" i="1"/>
  <c r="AL1164" i="1" s="1"/>
  <c r="H1164" i="1"/>
  <c r="BJ1163" i="1"/>
  <c r="BF1163" i="1"/>
  <c r="BD1163" i="1"/>
  <c r="AP1163" i="1"/>
  <c r="AX1163" i="1" s="1"/>
  <c r="AO1163" i="1"/>
  <c r="AW1163" i="1" s="1"/>
  <c r="AK1163" i="1"/>
  <c r="AJ1163" i="1"/>
  <c r="AH1163" i="1"/>
  <c r="AE1163" i="1"/>
  <c r="AD1163" i="1"/>
  <c r="AC1163" i="1"/>
  <c r="AB1163" i="1"/>
  <c r="Z1163" i="1"/>
  <c r="J1163" i="1"/>
  <c r="AL1163" i="1" s="1"/>
  <c r="I1163" i="1"/>
  <c r="H1163" i="1"/>
  <c r="BJ1162" i="1"/>
  <c r="BF1162" i="1"/>
  <c r="BD1162" i="1"/>
  <c r="AW1162" i="1"/>
  <c r="AP1162" i="1"/>
  <c r="AX1162" i="1" s="1"/>
  <c r="AO1162" i="1"/>
  <c r="H1162" i="1" s="1"/>
  <c r="AK1162" i="1"/>
  <c r="AJ1162" i="1"/>
  <c r="AH1162" i="1"/>
  <c r="AE1162" i="1"/>
  <c r="AD1162" i="1"/>
  <c r="AC1162" i="1"/>
  <c r="AB1162" i="1"/>
  <c r="Z1162" i="1"/>
  <c r="J1162" i="1"/>
  <c r="AL1162" i="1" s="1"/>
  <c r="I1162" i="1"/>
  <c r="BJ1161" i="1"/>
  <c r="BF1161" i="1"/>
  <c r="BD1161" i="1"/>
  <c r="AP1161" i="1"/>
  <c r="I1161" i="1" s="1"/>
  <c r="AO1161" i="1"/>
  <c r="BH1161" i="1" s="1"/>
  <c r="AF1161" i="1" s="1"/>
  <c r="AK1161" i="1"/>
  <c r="AJ1161" i="1"/>
  <c r="AH1161" i="1"/>
  <c r="AE1161" i="1"/>
  <c r="AD1161" i="1"/>
  <c r="AC1161" i="1"/>
  <c r="AB1161" i="1"/>
  <c r="Z1161" i="1"/>
  <c r="J1161" i="1"/>
  <c r="BJ1160" i="1"/>
  <c r="BF1160" i="1"/>
  <c r="BD1160" i="1"/>
  <c r="AW1160" i="1"/>
  <c r="AP1160" i="1"/>
  <c r="BI1160" i="1" s="1"/>
  <c r="AG1160" i="1" s="1"/>
  <c r="AO1160" i="1"/>
  <c r="BH1160" i="1" s="1"/>
  <c r="AF1160" i="1" s="1"/>
  <c r="AK1160" i="1"/>
  <c r="AJ1160" i="1"/>
  <c r="AS1159" i="1" s="1"/>
  <c r="AH1160" i="1"/>
  <c r="AE1160" i="1"/>
  <c r="AD1160" i="1"/>
  <c r="AC1160" i="1"/>
  <c r="AB1160" i="1"/>
  <c r="Z1160" i="1"/>
  <c r="J1160" i="1"/>
  <c r="AL1160" i="1" s="1"/>
  <c r="H1160" i="1"/>
  <c r="BJ1158" i="1"/>
  <c r="BF1158" i="1"/>
  <c r="BD1158" i="1"/>
  <c r="AP1158" i="1"/>
  <c r="I1158" i="1" s="1"/>
  <c r="AO1158" i="1"/>
  <c r="BH1158" i="1" s="1"/>
  <c r="AF1158" i="1" s="1"/>
  <c r="AK1158" i="1"/>
  <c r="AJ1158" i="1"/>
  <c r="AH1158" i="1"/>
  <c r="AE1158" i="1"/>
  <c r="AD1158" i="1"/>
  <c r="AC1158" i="1"/>
  <c r="AB1158" i="1"/>
  <c r="Z1158" i="1"/>
  <c r="J1158" i="1"/>
  <c r="AL1158" i="1" s="1"/>
  <c r="BJ1157" i="1"/>
  <c r="BF1157" i="1"/>
  <c r="BD1157" i="1"/>
  <c r="AW1157" i="1"/>
  <c r="AP1157" i="1"/>
  <c r="BI1157" i="1" s="1"/>
  <c r="AG1157" i="1" s="1"/>
  <c r="AO1157" i="1"/>
  <c r="BH1157" i="1" s="1"/>
  <c r="AF1157" i="1" s="1"/>
  <c r="AK1157" i="1"/>
  <c r="AJ1157" i="1"/>
  <c r="AH1157" i="1"/>
  <c r="AE1157" i="1"/>
  <c r="AD1157" i="1"/>
  <c r="AC1157" i="1"/>
  <c r="AB1157" i="1"/>
  <c r="Z1157" i="1"/>
  <c r="J1157" i="1"/>
  <c r="AL1157" i="1" s="1"/>
  <c r="H1157" i="1"/>
  <c r="BJ1156" i="1"/>
  <c r="BF1156" i="1"/>
  <c r="BD1156" i="1"/>
  <c r="AX1156" i="1"/>
  <c r="AP1156" i="1"/>
  <c r="BI1156" i="1" s="1"/>
  <c r="AO1156" i="1"/>
  <c r="BH1156" i="1" s="1"/>
  <c r="AF1156" i="1" s="1"/>
  <c r="AK1156" i="1"/>
  <c r="AJ1156" i="1"/>
  <c r="AH1156" i="1"/>
  <c r="AG1156" i="1"/>
  <c r="AE1156" i="1"/>
  <c r="AD1156" i="1"/>
  <c r="AC1156" i="1"/>
  <c r="AB1156" i="1"/>
  <c r="Z1156" i="1"/>
  <c r="J1156" i="1"/>
  <c r="AL1156" i="1" s="1"/>
  <c r="I1156" i="1"/>
  <c r="H1156" i="1"/>
  <c r="BJ1155" i="1"/>
  <c r="BF1155" i="1"/>
  <c r="BD1155" i="1"/>
  <c r="AX1155" i="1"/>
  <c r="AP1155" i="1"/>
  <c r="BI1155" i="1" s="1"/>
  <c r="AG1155" i="1" s="1"/>
  <c r="AO1155" i="1"/>
  <c r="H1155" i="1" s="1"/>
  <c r="AK1155" i="1"/>
  <c r="AJ1155" i="1"/>
  <c r="AH1155" i="1"/>
  <c r="AE1155" i="1"/>
  <c r="AD1155" i="1"/>
  <c r="AC1155" i="1"/>
  <c r="AB1155" i="1"/>
  <c r="Z1155" i="1"/>
  <c r="J1155" i="1"/>
  <c r="AL1155" i="1" s="1"/>
  <c r="I1155" i="1"/>
  <c r="BJ1154" i="1"/>
  <c r="BF1154" i="1"/>
  <c r="BD1154" i="1"/>
  <c r="AX1154" i="1"/>
  <c r="AP1154" i="1"/>
  <c r="I1154" i="1" s="1"/>
  <c r="AO1154" i="1"/>
  <c r="BH1154" i="1" s="1"/>
  <c r="AF1154" i="1" s="1"/>
  <c r="AK1154" i="1"/>
  <c r="AJ1154" i="1"/>
  <c r="AS1153" i="1" s="1"/>
  <c r="AH1154" i="1"/>
  <c r="AE1154" i="1"/>
  <c r="AD1154" i="1"/>
  <c r="AC1154" i="1"/>
  <c r="AB1154" i="1"/>
  <c r="Z1154" i="1"/>
  <c r="J1154" i="1"/>
  <c r="AL1154" i="1" s="1"/>
  <c r="BJ1152" i="1"/>
  <c r="BF1152" i="1"/>
  <c r="BD1152" i="1"/>
  <c r="AX1152" i="1"/>
  <c r="AP1152" i="1"/>
  <c r="BI1152" i="1" s="1"/>
  <c r="AG1152" i="1" s="1"/>
  <c r="AO1152" i="1"/>
  <c r="H1152" i="1" s="1"/>
  <c r="AK1152" i="1"/>
  <c r="AJ1152" i="1"/>
  <c r="AH1152" i="1"/>
  <c r="AE1152" i="1"/>
  <c r="AD1152" i="1"/>
  <c r="AC1152" i="1"/>
  <c r="AB1152" i="1"/>
  <c r="Z1152" i="1"/>
  <c r="J1152" i="1"/>
  <c r="BJ1151" i="1"/>
  <c r="BH1151" i="1"/>
  <c r="AF1151" i="1" s="1"/>
  <c r="BF1151" i="1"/>
  <c r="BD1151" i="1"/>
  <c r="AP1151" i="1"/>
  <c r="I1151" i="1" s="1"/>
  <c r="AO1151" i="1"/>
  <c r="AK1151" i="1"/>
  <c r="AJ1151" i="1"/>
  <c r="AH1151" i="1"/>
  <c r="AE1151" i="1"/>
  <c r="AD1151" i="1"/>
  <c r="AC1151" i="1"/>
  <c r="AB1151" i="1"/>
  <c r="Z1151" i="1"/>
  <c r="J1151" i="1"/>
  <c r="AL1151" i="1" s="1"/>
  <c r="BJ1150" i="1"/>
  <c r="BF1150" i="1"/>
  <c r="BD1150" i="1"/>
  <c r="AP1150" i="1"/>
  <c r="BI1150" i="1" s="1"/>
  <c r="AG1150" i="1" s="1"/>
  <c r="AO1150" i="1"/>
  <c r="AL1150" i="1"/>
  <c r="AK1150" i="1"/>
  <c r="AJ1150" i="1"/>
  <c r="AH1150" i="1"/>
  <c r="AE1150" i="1"/>
  <c r="AD1150" i="1"/>
  <c r="AC1150" i="1"/>
  <c r="AB1150" i="1"/>
  <c r="Z1150" i="1"/>
  <c r="J1150" i="1"/>
  <c r="BJ1148" i="1"/>
  <c r="BF1148" i="1"/>
  <c r="BD1148" i="1"/>
  <c r="AX1148" i="1"/>
  <c r="AP1148" i="1"/>
  <c r="I1148" i="1" s="1"/>
  <c r="AO1148" i="1"/>
  <c r="BH1148" i="1" s="1"/>
  <c r="AB1148" i="1" s="1"/>
  <c r="AK1148" i="1"/>
  <c r="AJ1148" i="1"/>
  <c r="AH1148" i="1"/>
  <c r="AG1148" i="1"/>
  <c r="AF1148" i="1"/>
  <c r="AE1148" i="1"/>
  <c r="AD1148" i="1"/>
  <c r="Z1148" i="1"/>
  <c r="J1148" i="1"/>
  <c r="AL1148" i="1" s="1"/>
  <c r="BJ1147" i="1"/>
  <c r="BI1147" i="1"/>
  <c r="AG1147" i="1" s="1"/>
  <c r="BF1147" i="1"/>
  <c r="BD1147" i="1"/>
  <c r="AP1147" i="1"/>
  <c r="AO1147" i="1"/>
  <c r="AW1147" i="1" s="1"/>
  <c r="AK1147" i="1"/>
  <c r="AJ1147" i="1"/>
  <c r="AH1147" i="1"/>
  <c r="AE1147" i="1"/>
  <c r="AD1147" i="1"/>
  <c r="AC1147" i="1"/>
  <c r="AB1147" i="1"/>
  <c r="Z1147" i="1"/>
  <c r="J1147" i="1"/>
  <c r="AL1147" i="1" s="1"/>
  <c r="BJ1146" i="1"/>
  <c r="BF1146" i="1"/>
  <c r="BD1146" i="1"/>
  <c r="AP1146" i="1"/>
  <c r="AX1146" i="1" s="1"/>
  <c r="AO1146" i="1"/>
  <c r="AW1146" i="1" s="1"/>
  <c r="AV1146" i="1" s="1"/>
  <c r="AK1146" i="1"/>
  <c r="AJ1146" i="1"/>
  <c r="AH1146" i="1"/>
  <c r="AE1146" i="1"/>
  <c r="AD1146" i="1"/>
  <c r="AC1146" i="1"/>
  <c r="AB1146" i="1"/>
  <c r="Z1146" i="1"/>
  <c r="J1146" i="1"/>
  <c r="AL1146" i="1" s="1"/>
  <c r="I1146" i="1"/>
  <c r="H1146" i="1"/>
  <c r="BJ1145" i="1"/>
  <c r="BH1145" i="1"/>
  <c r="AF1145" i="1" s="1"/>
  <c r="BF1145" i="1"/>
  <c r="BD1145" i="1"/>
  <c r="AP1145" i="1"/>
  <c r="AX1145" i="1" s="1"/>
  <c r="AO1145" i="1"/>
  <c r="H1145" i="1" s="1"/>
  <c r="AL1145" i="1"/>
  <c r="AK1145" i="1"/>
  <c r="AJ1145" i="1"/>
  <c r="AH1145" i="1"/>
  <c r="AE1145" i="1"/>
  <c r="AD1145" i="1"/>
  <c r="AC1145" i="1"/>
  <c r="AB1145" i="1"/>
  <c r="Z1145" i="1"/>
  <c r="J1145" i="1"/>
  <c r="I1145" i="1"/>
  <c r="BJ1144" i="1"/>
  <c r="BF1144" i="1"/>
  <c r="BD1144" i="1"/>
  <c r="AP1144" i="1"/>
  <c r="AO1144" i="1"/>
  <c r="AW1144" i="1" s="1"/>
  <c r="AK1144" i="1"/>
  <c r="AJ1144" i="1"/>
  <c r="AH1144" i="1"/>
  <c r="AG1144" i="1"/>
  <c r="AF1144" i="1"/>
  <c r="AE1144" i="1"/>
  <c r="AD1144" i="1"/>
  <c r="Z1144" i="1"/>
  <c r="J1144" i="1"/>
  <c r="AL1144" i="1" s="1"/>
  <c r="BJ1143" i="1"/>
  <c r="BI1143" i="1"/>
  <c r="AG1143" i="1" s="1"/>
  <c r="BF1143" i="1"/>
  <c r="BD1143" i="1"/>
  <c r="BC1143" i="1"/>
  <c r="AW1143" i="1"/>
  <c r="AV1143" i="1" s="1"/>
  <c r="AP1143" i="1"/>
  <c r="AX1143" i="1" s="1"/>
  <c r="AO1143" i="1"/>
  <c r="BH1143" i="1" s="1"/>
  <c r="AF1143" i="1" s="1"/>
  <c r="AK1143" i="1"/>
  <c r="AJ1143" i="1"/>
  <c r="AH1143" i="1"/>
  <c r="AE1143" i="1"/>
  <c r="AD1143" i="1"/>
  <c r="AC1143" i="1"/>
  <c r="AB1143" i="1"/>
  <c r="Z1143" i="1"/>
  <c r="J1143" i="1"/>
  <c r="AL1143" i="1" s="1"/>
  <c r="I1143" i="1"/>
  <c r="H1143" i="1"/>
  <c r="BJ1142" i="1"/>
  <c r="BF1142" i="1"/>
  <c r="BD1142" i="1"/>
  <c r="AX1142" i="1"/>
  <c r="AW1142" i="1"/>
  <c r="AP1142" i="1"/>
  <c r="BI1142" i="1" s="1"/>
  <c r="AC1142" i="1" s="1"/>
  <c r="AO1142" i="1"/>
  <c r="BH1142" i="1" s="1"/>
  <c r="AK1142" i="1"/>
  <c r="AJ1142" i="1"/>
  <c r="AH1142" i="1"/>
  <c r="AG1142" i="1"/>
  <c r="AF1142" i="1"/>
  <c r="AE1142" i="1"/>
  <c r="AD1142" i="1"/>
  <c r="AB1142" i="1"/>
  <c r="Z1142" i="1"/>
  <c r="J1142" i="1"/>
  <c r="AL1142" i="1" s="1"/>
  <c r="I1142" i="1"/>
  <c r="H1142" i="1"/>
  <c r="BJ1141" i="1"/>
  <c r="BF1141" i="1"/>
  <c r="BD1141" i="1"/>
  <c r="AX1141" i="1"/>
  <c r="AW1141" i="1"/>
  <c r="AP1141" i="1"/>
  <c r="BI1141" i="1" s="1"/>
  <c r="AG1141" i="1" s="1"/>
  <c r="AO1141" i="1"/>
  <c r="H1141" i="1" s="1"/>
  <c r="AK1141" i="1"/>
  <c r="AJ1141" i="1"/>
  <c r="AH1141" i="1"/>
  <c r="AE1141" i="1"/>
  <c r="AD1141" i="1"/>
  <c r="AC1141" i="1"/>
  <c r="AB1141" i="1"/>
  <c r="Z1141" i="1"/>
  <c r="J1141" i="1"/>
  <c r="AL1141" i="1" s="1"/>
  <c r="I1141" i="1"/>
  <c r="BJ1140" i="1"/>
  <c r="BF1140" i="1"/>
  <c r="BD1140" i="1"/>
  <c r="AX1140" i="1"/>
  <c r="AP1140" i="1"/>
  <c r="I1140" i="1" s="1"/>
  <c r="AO1140" i="1"/>
  <c r="BH1140" i="1" s="1"/>
  <c r="AF1140" i="1" s="1"/>
  <c r="AK1140" i="1"/>
  <c r="AJ1140" i="1"/>
  <c r="AH1140" i="1"/>
  <c r="AE1140" i="1"/>
  <c r="AD1140" i="1"/>
  <c r="AC1140" i="1"/>
  <c r="AB1140" i="1"/>
  <c r="Z1140" i="1"/>
  <c r="J1140" i="1"/>
  <c r="AL1140" i="1" s="1"/>
  <c r="J1139" i="1"/>
  <c r="G91" i="2" s="1"/>
  <c r="I91" i="2" s="1"/>
  <c r="BJ1137" i="1"/>
  <c r="Z1137" i="1" s="1"/>
  <c r="BF1137" i="1"/>
  <c r="BD1137" i="1"/>
  <c r="AP1137" i="1"/>
  <c r="BI1137" i="1" s="1"/>
  <c r="AO1137" i="1"/>
  <c r="H1137" i="1" s="1"/>
  <c r="AL1137" i="1"/>
  <c r="AK1137" i="1"/>
  <c r="AJ1137" i="1"/>
  <c r="AH1137" i="1"/>
  <c r="AG1137" i="1"/>
  <c r="AF1137" i="1"/>
  <c r="AE1137" i="1"/>
  <c r="AD1137" i="1"/>
  <c r="AC1137" i="1"/>
  <c r="AB1137" i="1"/>
  <c r="J1137" i="1"/>
  <c r="BJ1136" i="1"/>
  <c r="BF1136" i="1"/>
  <c r="BD1136" i="1"/>
  <c r="AX1136" i="1"/>
  <c r="AP1136" i="1"/>
  <c r="I1136" i="1" s="1"/>
  <c r="AO1136" i="1"/>
  <c r="BH1136" i="1" s="1"/>
  <c r="AK1136" i="1"/>
  <c r="AJ1136" i="1"/>
  <c r="AH1136" i="1"/>
  <c r="AG1136" i="1"/>
  <c r="AF1136" i="1"/>
  <c r="AE1136" i="1"/>
  <c r="AD1136" i="1"/>
  <c r="AC1136" i="1"/>
  <c r="AB1136" i="1"/>
  <c r="Z1136" i="1"/>
  <c r="J1136" i="1"/>
  <c r="AL1136" i="1" s="1"/>
  <c r="BJ1134" i="1"/>
  <c r="Z1134" i="1" s="1"/>
  <c r="BF1134" i="1"/>
  <c r="BD1134" i="1"/>
  <c r="AP1134" i="1"/>
  <c r="AO1134" i="1"/>
  <c r="AW1134" i="1" s="1"/>
  <c r="AL1134" i="1"/>
  <c r="AK1134" i="1"/>
  <c r="AJ1134" i="1"/>
  <c r="AH1134" i="1"/>
  <c r="AG1134" i="1"/>
  <c r="AF1134" i="1"/>
  <c r="AE1134" i="1"/>
  <c r="AD1134" i="1"/>
  <c r="AC1134" i="1"/>
  <c r="AB1134" i="1"/>
  <c r="J1134" i="1"/>
  <c r="H1134" i="1"/>
  <c r="BJ1133" i="1"/>
  <c r="Z1133" i="1" s="1"/>
  <c r="BF1133" i="1"/>
  <c r="BD1133" i="1"/>
  <c r="AV1133" i="1"/>
  <c r="AP1133" i="1"/>
  <c r="AX1133" i="1" s="1"/>
  <c r="AO1133" i="1"/>
  <c r="AW1133" i="1" s="1"/>
  <c r="AL1133" i="1"/>
  <c r="AK1133" i="1"/>
  <c r="AJ1133" i="1"/>
  <c r="AH1133" i="1"/>
  <c r="AG1133" i="1"/>
  <c r="AF1133" i="1"/>
  <c r="AE1133" i="1"/>
  <c r="AD1133" i="1"/>
  <c r="AC1133" i="1"/>
  <c r="AB1133" i="1"/>
  <c r="J1133" i="1"/>
  <c r="I1133" i="1"/>
  <c r="BJ1132" i="1"/>
  <c r="Z1132" i="1" s="1"/>
  <c r="BI1132" i="1"/>
  <c r="BF1132" i="1"/>
  <c r="BD1132" i="1"/>
  <c r="AP1132" i="1"/>
  <c r="AX1132" i="1" s="1"/>
  <c r="AO1132" i="1"/>
  <c r="H1132" i="1" s="1"/>
  <c r="AL1132" i="1"/>
  <c r="AK1132" i="1"/>
  <c r="AJ1132" i="1"/>
  <c r="AH1132" i="1"/>
  <c r="AG1132" i="1"/>
  <c r="AF1132" i="1"/>
  <c r="AE1132" i="1"/>
  <c r="AD1132" i="1"/>
  <c r="AC1132" i="1"/>
  <c r="AB1132" i="1"/>
  <c r="J1132" i="1"/>
  <c r="BJ1131" i="1"/>
  <c r="Z1131" i="1" s="1"/>
  <c r="BI1131" i="1"/>
  <c r="BF1131" i="1"/>
  <c r="BD1131" i="1"/>
  <c r="AX1131" i="1"/>
  <c r="AP1131" i="1"/>
  <c r="I1131" i="1" s="1"/>
  <c r="AO1131" i="1"/>
  <c r="H1131" i="1" s="1"/>
  <c r="AK1131" i="1"/>
  <c r="AJ1131" i="1"/>
  <c r="AH1131" i="1"/>
  <c r="AG1131" i="1"/>
  <c r="AF1131" i="1"/>
  <c r="AE1131" i="1"/>
  <c r="AD1131" i="1"/>
  <c r="AC1131" i="1"/>
  <c r="AB1131" i="1"/>
  <c r="J1131" i="1"/>
  <c r="BJ1129" i="1"/>
  <c r="BI1129" i="1"/>
  <c r="AC1129" i="1" s="1"/>
  <c r="BF1129" i="1"/>
  <c r="BD1129" i="1"/>
  <c r="AP1129" i="1"/>
  <c r="AX1129" i="1" s="1"/>
  <c r="AO1129" i="1"/>
  <c r="H1129" i="1" s="1"/>
  <c r="AK1129" i="1"/>
  <c r="AT1127" i="1" s="1"/>
  <c r="AJ1129" i="1"/>
  <c r="AH1129" i="1"/>
  <c r="AG1129" i="1"/>
  <c r="AF1129" i="1"/>
  <c r="AE1129" i="1"/>
  <c r="AD1129" i="1"/>
  <c r="Z1129" i="1"/>
  <c r="J1129" i="1"/>
  <c r="AL1129" i="1" s="1"/>
  <c r="I1129" i="1"/>
  <c r="BJ1128" i="1"/>
  <c r="BF1128" i="1"/>
  <c r="BD1128" i="1"/>
  <c r="AP1128" i="1"/>
  <c r="AO1128" i="1"/>
  <c r="AW1128" i="1" s="1"/>
  <c r="AK1128" i="1"/>
  <c r="AJ1128" i="1"/>
  <c r="AH1128" i="1"/>
  <c r="AG1128" i="1"/>
  <c r="AF1128" i="1"/>
  <c r="AE1128" i="1"/>
  <c r="AD1128" i="1"/>
  <c r="Z1128" i="1"/>
  <c r="J1128" i="1"/>
  <c r="H1128" i="1"/>
  <c r="H1127" i="1" s="1"/>
  <c r="E89" i="2" s="1"/>
  <c r="BJ1126" i="1"/>
  <c r="BF1126" i="1"/>
  <c r="BD1126" i="1"/>
  <c r="AP1126" i="1"/>
  <c r="AO1126" i="1"/>
  <c r="H1126" i="1" s="1"/>
  <c r="AK1126" i="1"/>
  <c r="AJ1126" i="1"/>
  <c r="AH1126" i="1"/>
  <c r="AG1126" i="1"/>
  <c r="AF1126" i="1"/>
  <c r="AE1126" i="1"/>
  <c r="AD1126" i="1"/>
  <c r="Z1126" i="1"/>
  <c r="J1126" i="1"/>
  <c r="AL1126" i="1" s="1"/>
  <c r="BJ1124" i="1"/>
  <c r="BF1124" i="1"/>
  <c r="BD1124" i="1"/>
  <c r="AP1124" i="1"/>
  <c r="I1124" i="1" s="1"/>
  <c r="AO1124" i="1"/>
  <c r="BH1124" i="1" s="1"/>
  <c r="AB1124" i="1" s="1"/>
  <c r="AK1124" i="1"/>
  <c r="AT1123" i="1" s="1"/>
  <c r="AJ1124" i="1"/>
  <c r="AS1123" i="1" s="1"/>
  <c r="AH1124" i="1"/>
  <c r="AG1124" i="1"/>
  <c r="AF1124" i="1"/>
  <c r="AE1124" i="1"/>
  <c r="AD1124" i="1"/>
  <c r="Z1124" i="1"/>
  <c r="J1124" i="1"/>
  <c r="BJ1121" i="1"/>
  <c r="BH1121" i="1"/>
  <c r="AF1121" i="1" s="1"/>
  <c r="BF1121" i="1"/>
  <c r="BD1121" i="1"/>
  <c r="AP1121" i="1"/>
  <c r="AX1121" i="1" s="1"/>
  <c r="AO1121" i="1"/>
  <c r="H1121" i="1" s="1"/>
  <c r="H1120" i="1" s="1"/>
  <c r="E87" i="2" s="1"/>
  <c r="AL1121" i="1"/>
  <c r="AU1120" i="1" s="1"/>
  <c r="AK1121" i="1"/>
  <c r="AT1120" i="1" s="1"/>
  <c r="AJ1121" i="1"/>
  <c r="AS1120" i="1" s="1"/>
  <c r="AH1121" i="1"/>
  <c r="AE1121" i="1"/>
  <c r="AD1121" i="1"/>
  <c r="AC1121" i="1"/>
  <c r="AB1121" i="1"/>
  <c r="Z1121" i="1"/>
  <c r="J1121" i="1"/>
  <c r="I1121" i="1"/>
  <c r="I1120" i="1" s="1"/>
  <c r="F87" i="2" s="1"/>
  <c r="J1120" i="1"/>
  <c r="G87" i="2" s="1"/>
  <c r="I87" i="2" s="1"/>
  <c r="BJ1118" i="1"/>
  <c r="BF1118" i="1"/>
  <c r="BD1118" i="1"/>
  <c r="AP1118" i="1"/>
  <c r="I1118" i="1" s="1"/>
  <c r="I1117" i="1" s="1"/>
  <c r="F86" i="2" s="1"/>
  <c r="AO1118" i="1"/>
  <c r="AL1118" i="1"/>
  <c r="AU1117" i="1" s="1"/>
  <c r="AK1118" i="1"/>
  <c r="AT1117" i="1" s="1"/>
  <c r="AJ1118" i="1"/>
  <c r="AH1118" i="1"/>
  <c r="AG1118" i="1"/>
  <c r="AF1118" i="1"/>
  <c r="AE1118" i="1"/>
  <c r="AD1118" i="1"/>
  <c r="Z1118" i="1"/>
  <c r="J1118" i="1"/>
  <c r="J1117" i="1" s="1"/>
  <c r="G86" i="2" s="1"/>
  <c r="I86" i="2" s="1"/>
  <c r="AS1117" i="1"/>
  <c r="BJ1115" i="1"/>
  <c r="BF1115" i="1"/>
  <c r="BD1115" i="1"/>
  <c r="AP1115" i="1"/>
  <c r="BI1115" i="1" s="1"/>
  <c r="AC1115" i="1" s="1"/>
  <c r="AO1115" i="1"/>
  <c r="H1115" i="1" s="1"/>
  <c r="AK1115" i="1"/>
  <c r="AJ1115" i="1"/>
  <c r="AH1115" i="1"/>
  <c r="AG1115" i="1"/>
  <c r="AF1115" i="1"/>
  <c r="AE1115" i="1"/>
  <c r="AD1115" i="1"/>
  <c r="Z1115" i="1"/>
  <c r="J1115" i="1"/>
  <c r="AL1115" i="1" s="1"/>
  <c r="BJ1113" i="1"/>
  <c r="BF1113" i="1"/>
  <c r="BD1113" i="1"/>
  <c r="AX1113" i="1"/>
  <c r="AP1113" i="1"/>
  <c r="I1113" i="1" s="1"/>
  <c r="AO1113" i="1"/>
  <c r="AW1113" i="1" s="1"/>
  <c r="AL1113" i="1"/>
  <c r="AU1112" i="1" s="1"/>
  <c r="AK1113" i="1"/>
  <c r="AT1112" i="1" s="1"/>
  <c r="AJ1113" i="1"/>
  <c r="AS1112" i="1" s="1"/>
  <c r="AH1113" i="1"/>
  <c r="AG1113" i="1"/>
  <c r="AF1113" i="1"/>
  <c r="AE1113" i="1"/>
  <c r="AD1113" i="1"/>
  <c r="Z1113" i="1"/>
  <c r="J1113" i="1"/>
  <c r="J1112" i="1" s="1"/>
  <c r="G85" i="2" s="1"/>
  <c r="I85" i="2" s="1"/>
  <c r="H1113" i="1"/>
  <c r="BJ1110" i="1"/>
  <c r="BI1110" i="1"/>
  <c r="AC1110" i="1" s="1"/>
  <c r="BF1110" i="1"/>
  <c r="BD1110" i="1"/>
  <c r="AW1110" i="1"/>
  <c r="AP1110" i="1"/>
  <c r="AO1110" i="1"/>
  <c r="H1110" i="1" s="1"/>
  <c r="H1109" i="1" s="1"/>
  <c r="E84" i="2" s="1"/>
  <c r="AK1110" i="1"/>
  <c r="AT1109" i="1" s="1"/>
  <c r="AJ1110" i="1"/>
  <c r="AS1109" i="1" s="1"/>
  <c r="AH1110" i="1"/>
  <c r="AG1110" i="1"/>
  <c r="AF1110" i="1"/>
  <c r="AE1110" i="1"/>
  <c r="AD1110" i="1"/>
  <c r="Z1110" i="1"/>
  <c r="J1110" i="1"/>
  <c r="AL1110" i="1" s="1"/>
  <c r="AU1109" i="1"/>
  <c r="J1109" i="1"/>
  <c r="BJ1107" i="1"/>
  <c r="BF1107" i="1"/>
  <c r="BD1107" i="1"/>
  <c r="AP1107" i="1"/>
  <c r="AX1107" i="1" s="1"/>
  <c r="AO1107" i="1"/>
  <c r="H1107" i="1" s="1"/>
  <c r="AL1107" i="1"/>
  <c r="AK1107" i="1"/>
  <c r="AJ1107" i="1"/>
  <c r="AH1107" i="1"/>
  <c r="AG1107" i="1"/>
  <c r="AF1107" i="1"/>
  <c r="AE1107" i="1"/>
  <c r="AD1107" i="1"/>
  <c r="Z1107" i="1"/>
  <c r="J1107" i="1"/>
  <c r="I1107" i="1"/>
  <c r="BJ1106" i="1"/>
  <c r="BI1106" i="1"/>
  <c r="AC1106" i="1" s="1"/>
  <c r="BF1106" i="1"/>
  <c r="BD1106" i="1"/>
  <c r="AP1106" i="1"/>
  <c r="I1106" i="1" s="1"/>
  <c r="AO1106" i="1"/>
  <c r="BH1106" i="1" s="1"/>
  <c r="AB1106" i="1" s="1"/>
  <c r="AK1106" i="1"/>
  <c r="AJ1106" i="1"/>
  <c r="AH1106" i="1"/>
  <c r="AG1106" i="1"/>
  <c r="AF1106" i="1"/>
  <c r="AE1106" i="1"/>
  <c r="AD1106" i="1"/>
  <c r="Z1106" i="1"/>
  <c r="J1106" i="1"/>
  <c r="AL1106" i="1" s="1"/>
  <c r="BJ1105" i="1"/>
  <c r="BF1105" i="1"/>
  <c r="BD1105" i="1"/>
  <c r="AP1105" i="1"/>
  <c r="BI1105" i="1" s="1"/>
  <c r="AC1105" i="1" s="1"/>
  <c r="AO1105" i="1"/>
  <c r="BH1105" i="1" s="1"/>
  <c r="AB1105" i="1" s="1"/>
  <c r="AK1105" i="1"/>
  <c r="AJ1105" i="1"/>
  <c r="AH1105" i="1"/>
  <c r="AG1105" i="1"/>
  <c r="AF1105" i="1"/>
  <c r="AE1105" i="1"/>
  <c r="AD1105" i="1"/>
  <c r="Z1105" i="1"/>
  <c r="J1105" i="1"/>
  <c r="AL1105" i="1" s="1"/>
  <c r="AU1104" i="1" s="1"/>
  <c r="BJ1103" i="1"/>
  <c r="BF1103" i="1"/>
  <c r="BD1103" i="1"/>
  <c r="AP1103" i="1"/>
  <c r="I1103" i="1" s="1"/>
  <c r="AO1103" i="1"/>
  <c r="BH1103" i="1" s="1"/>
  <c r="AB1103" i="1" s="1"/>
  <c r="AK1103" i="1"/>
  <c r="AJ1103" i="1"/>
  <c r="AH1103" i="1"/>
  <c r="AG1103" i="1"/>
  <c r="AF1103" i="1"/>
  <c r="AE1103" i="1"/>
  <c r="AD1103" i="1"/>
  <c r="Z1103" i="1"/>
  <c r="J1103" i="1"/>
  <c r="AL1103" i="1" s="1"/>
  <c r="BJ1102" i="1"/>
  <c r="BF1102" i="1"/>
  <c r="BD1102" i="1"/>
  <c r="AP1102" i="1"/>
  <c r="BI1102" i="1" s="1"/>
  <c r="AC1102" i="1" s="1"/>
  <c r="AO1102" i="1"/>
  <c r="AL1102" i="1"/>
  <c r="AK1102" i="1"/>
  <c r="AJ1102" i="1"/>
  <c r="AH1102" i="1"/>
  <c r="AG1102" i="1"/>
  <c r="AF1102" i="1"/>
  <c r="AE1102" i="1"/>
  <c r="AD1102" i="1"/>
  <c r="Z1102" i="1"/>
  <c r="J1102" i="1"/>
  <c r="BJ1101" i="1"/>
  <c r="BF1101" i="1"/>
  <c r="BD1101" i="1"/>
  <c r="AW1101" i="1"/>
  <c r="AP1101" i="1"/>
  <c r="BI1101" i="1" s="1"/>
  <c r="AC1101" i="1" s="1"/>
  <c r="AO1101" i="1"/>
  <c r="H1101" i="1" s="1"/>
  <c r="AK1101" i="1"/>
  <c r="AJ1101" i="1"/>
  <c r="AH1101" i="1"/>
  <c r="AG1101" i="1"/>
  <c r="AF1101" i="1"/>
  <c r="AE1101" i="1"/>
  <c r="AD1101" i="1"/>
  <c r="Z1101" i="1"/>
  <c r="J1101" i="1"/>
  <c r="AL1101" i="1" s="1"/>
  <c r="I1101" i="1"/>
  <c r="BJ1100" i="1"/>
  <c r="BF1100" i="1"/>
  <c r="BD1100" i="1"/>
  <c r="AX1100" i="1"/>
  <c r="AW1100" i="1"/>
  <c r="AP1100" i="1"/>
  <c r="I1100" i="1" s="1"/>
  <c r="AO1100" i="1"/>
  <c r="BH1100" i="1" s="1"/>
  <c r="AB1100" i="1" s="1"/>
  <c r="AL1100" i="1"/>
  <c r="AK1100" i="1"/>
  <c r="AJ1100" i="1"/>
  <c r="AH1100" i="1"/>
  <c r="AG1100" i="1"/>
  <c r="AF1100" i="1"/>
  <c r="AE1100" i="1"/>
  <c r="AD1100" i="1"/>
  <c r="Z1100" i="1"/>
  <c r="J1100" i="1"/>
  <c r="H1100" i="1"/>
  <c r="BJ1099" i="1"/>
  <c r="BF1099" i="1"/>
  <c r="BD1099" i="1"/>
  <c r="AX1099" i="1"/>
  <c r="AP1099" i="1"/>
  <c r="BI1099" i="1" s="1"/>
  <c r="AC1099" i="1" s="1"/>
  <c r="AO1099" i="1"/>
  <c r="AK1099" i="1"/>
  <c r="AJ1099" i="1"/>
  <c r="AH1099" i="1"/>
  <c r="AG1099" i="1"/>
  <c r="AF1099" i="1"/>
  <c r="AE1099" i="1"/>
  <c r="AD1099" i="1"/>
  <c r="Z1099" i="1"/>
  <c r="J1099" i="1"/>
  <c r="AL1099" i="1" s="1"/>
  <c r="I1099" i="1"/>
  <c r="BJ1098" i="1"/>
  <c r="BF1098" i="1"/>
  <c r="BD1098" i="1"/>
  <c r="AP1098" i="1"/>
  <c r="AO1098" i="1"/>
  <c r="H1098" i="1" s="1"/>
  <c r="AK1098" i="1"/>
  <c r="AJ1098" i="1"/>
  <c r="AH1098" i="1"/>
  <c r="AG1098" i="1"/>
  <c r="AF1098" i="1"/>
  <c r="AE1098" i="1"/>
  <c r="AD1098" i="1"/>
  <c r="Z1098" i="1"/>
  <c r="J1098" i="1"/>
  <c r="AL1098" i="1" s="1"/>
  <c r="BJ1097" i="1"/>
  <c r="BF1097" i="1"/>
  <c r="BD1097" i="1"/>
  <c r="AX1097" i="1"/>
  <c r="AP1097" i="1"/>
  <c r="I1097" i="1" s="1"/>
  <c r="AO1097" i="1"/>
  <c r="AW1097" i="1" s="1"/>
  <c r="BC1097" i="1" s="1"/>
  <c r="AL1097" i="1"/>
  <c r="AK1097" i="1"/>
  <c r="AJ1097" i="1"/>
  <c r="AH1097" i="1"/>
  <c r="AG1097" i="1"/>
  <c r="AF1097" i="1"/>
  <c r="AE1097" i="1"/>
  <c r="AD1097" i="1"/>
  <c r="Z1097" i="1"/>
  <c r="J1097" i="1"/>
  <c r="BJ1096" i="1"/>
  <c r="BH1096" i="1"/>
  <c r="AB1096" i="1" s="1"/>
  <c r="BF1096" i="1"/>
  <c r="BD1096" i="1"/>
  <c r="AP1096" i="1"/>
  <c r="AX1096" i="1" s="1"/>
  <c r="AO1096" i="1"/>
  <c r="H1096" i="1" s="1"/>
  <c r="AL1096" i="1"/>
  <c r="AK1096" i="1"/>
  <c r="AJ1096" i="1"/>
  <c r="AH1096" i="1"/>
  <c r="AG1096" i="1"/>
  <c r="AF1096" i="1"/>
  <c r="AE1096" i="1"/>
  <c r="AD1096" i="1"/>
  <c r="Z1096" i="1"/>
  <c r="J1096" i="1"/>
  <c r="I1096" i="1"/>
  <c r="BJ1095" i="1"/>
  <c r="BF1095" i="1"/>
  <c r="BD1095" i="1"/>
  <c r="AP1095" i="1"/>
  <c r="I1095" i="1" s="1"/>
  <c r="AO1095" i="1"/>
  <c r="BH1095" i="1" s="1"/>
  <c r="AB1095" i="1" s="1"/>
  <c r="AK1095" i="1"/>
  <c r="AJ1095" i="1"/>
  <c r="AH1095" i="1"/>
  <c r="AG1095" i="1"/>
  <c r="AF1095" i="1"/>
  <c r="AE1095" i="1"/>
  <c r="AD1095" i="1"/>
  <c r="Z1095" i="1"/>
  <c r="J1095" i="1"/>
  <c r="AL1095" i="1" s="1"/>
  <c r="BJ1094" i="1"/>
  <c r="BF1094" i="1"/>
  <c r="BD1094" i="1"/>
  <c r="AP1094" i="1"/>
  <c r="BI1094" i="1" s="1"/>
  <c r="AC1094" i="1" s="1"/>
  <c r="AO1094" i="1"/>
  <c r="BH1094" i="1" s="1"/>
  <c r="AB1094" i="1" s="1"/>
  <c r="AL1094" i="1"/>
  <c r="AK1094" i="1"/>
  <c r="AJ1094" i="1"/>
  <c r="AH1094" i="1"/>
  <c r="AG1094" i="1"/>
  <c r="AF1094" i="1"/>
  <c r="AE1094" i="1"/>
  <c r="AD1094" i="1"/>
  <c r="Z1094" i="1"/>
  <c r="J1094" i="1"/>
  <c r="H1094" i="1"/>
  <c r="BJ1093" i="1"/>
  <c r="BF1093" i="1"/>
  <c r="BD1093" i="1"/>
  <c r="AW1093" i="1"/>
  <c r="AP1093" i="1"/>
  <c r="BI1093" i="1" s="1"/>
  <c r="AC1093" i="1" s="1"/>
  <c r="AO1093" i="1"/>
  <c r="H1093" i="1" s="1"/>
  <c r="AK1093" i="1"/>
  <c r="AJ1093" i="1"/>
  <c r="AH1093" i="1"/>
  <c r="AG1093" i="1"/>
  <c r="AF1093" i="1"/>
  <c r="AE1093" i="1"/>
  <c r="AD1093" i="1"/>
  <c r="Z1093" i="1"/>
  <c r="J1093" i="1"/>
  <c r="AL1093" i="1" s="1"/>
  <c r="I1093" i="1"/>
  <c r="BJ1092" i="1"/>
  <c r="BF1092" i="1"/>
  <c r="BD1092" i="1"/>
  <c r="AP1092" i="1"/>
  <c r="I1092" i="1" s="1"/>
  <c r="AO1092" i="1"/>
  <c r="BH1092" i="1" s="1"/>
  <c r="AB1092" i="1" s="1"/>
  <c r="AK1092" i="1"/>
  <c r="AJ1092" i="1"/>
  <c r="AH1092" i="1"/>
  <c r="AG1092" i="1"/>
  <c r="AF1092" i="1"/>
  <c r="AE1092" i="1"/>
  <c r="AD1092" i="1"/>
  <c r="Z1092" i="1"/>
  <c r="J1092" i="1"/>
  <c r="AL1092" i="1" s="1"/>
  <c r="H1092" i="1"/>
  <c r="BJ1091" i="1"/>
  <c r="BF1091" i="1"/>
  <c r="BD1091" i="1"/>
  <c r="AP1091" i="1"/>
  <c r="BI1091" i="1" s="1"/>
  <c r="AC1091" i="1" s="1"/>
  <c r="AO1091" i="1"/>
  <c r="BH1091" i="1" s="1"/>
  <c r="AB1091" i="1" s="1"/>
  <c r="AK1091" i="1"/>
  <c r="AJ1091" i="1"/>
  <c r="AH1091" i="1"/>
  <c r="AG1091" i="1"/>
  <c r="AF1091" i="1"/>
  <c r="AE1091" i="1"/>
  <c r="AD1091" i="1"/>
  <c r="Z1091" i="1"/>
  <c r="J1091" i="1"/>
  <c r="AL1091" i="1" s="1"/>
  <c r="BJ1090" i="1"/>
  <c r="BF1090" i="1"/>
  <c r="BD1090" i="1"/>
  <c r="AP1090" i="1"/>
  <c r="AO1090" i="1"/>
  <c r="BH1090" i="1" s="1"/>
  <c r="AK1090" i="1"/>
  <c r="AJ1090" i="1"/>
  <c r="AH1090" i="1"/>
  <c r="AG1090" i="1"/>
  <c r="AF1090" i="1"/>
  <c r="AE1090" i="1"/>
  <c r="AD1090" i="1"/>
  <c r="AB1090" i="1"/>
  <c r="Z1090" i="1"/>
  <c r="J1090" i="1"/>
  <c r="AL1090" i="1" s="1"/>
  <c r="H1090" i="1"/>
  <c r="BJ1089" i="1"/>
  <c r="BF1089" i="1"/>
  <c r="BD1089" i="1"/>
  <c r="AP1089" i="1"/>
  <c r="BI1089" i="1" s="1"/>
  <c r="AC1089" i="1" s="1"/>
  <c r="AO1089" i="1"/>
  <c r="AW1089" i="1" s="1"/>
  <c r="AK1089" i="1"/>
  <c r="AJ1089" i="1"/>
  <c r="AH1089" i="1"/>
  <c r="AG1089" i="1"/>
  <c r="AF1089" i="1"/>
  <c r="AE1089" i="1"/>
  <c r="AD1089" i="1"/>
  <c r="Z1089" i="1"/>
  <c r="J1089" i="1"/>
  <c r="AL1089" i="1" s="1"/>
  <c r="I1089" i="1"/>
  <c r="H1089" i="1"/>
  <c r="BJ1088" i="1"/>
  <c r="BF1088" i="1"/>
  <c r="BD1088" i="1"/>
  <c r="AP1088" i="1"/>
  <c r="AX1088" i="1" s="1"/>
  <c r="AO1088" i="1"/>
  <c r="H1088" i="1" s="1"/>
  <c r="AK1088" i="1"/>
  <c r="AJ1088" i="1"/>
  <c r="AH1088" i="1"/>
  <c r="AG1088" i="1"/>
  <c r="AF1088" i="1"/>
  <c r="AE1088" i="1"/>
  <c r="AD1088" i="1"/>
  <c r="Z1088" i="1"/>
  <c r="J1088" i="1"/>
  <c r="AL1088" i="1" s="1"/>
  <c r="I1088" i="1"/>
  <c r="BJ1087" i="1"/>
  <c r="BF1087" i="1"/>
  <c r="BD1087" i="1"/>
  <c r="AP1087" i="1"/>
  <c r="I1087" i="1" s="1"/>
  <c r="AO1087" i="1"/>
  <c r="BH1087" i="1" s="1"/>
  <c r="AB1087" i="1" s="1"/>
  <c r="AK1087" i="1"/>
  <c r="AJ1087" i="1"/>
  <c r="AH1087" i="1"/>
  <c r="AG1087" i="1"/>
  <c r="AF1087" i="1"/>
  <c r="AE1087" i="1"/>
  <c r="AD1087" i="1"/>
  <c r="Z1087" i="1"/>
  <c r="J1087" i="1"/>
  <c r="BJ1086" i="1"/>
  <c r="BF1086" i="1"/>
  <c r="BD1086" i="1"/>
  <c r="AP1086" i="1"/>
  <c r="BI1086" i="1" s="1"/>
  <c r="AC1086" i="1" s="1"/>
  <c r="AO1086" i="1"/>
  <c r="BH1086" i="1" s="1"/>
  <c r="AB1086" i="1" s="1"/>
  <c r="AK1086" i="1"/>
  <c r="AJ1086" i="1"/>
  <c r="AH1086" i="1"/>
  <c r="AG1086" i="1"/>
  <c r="AF1086" i="1"/>
  <c r="AE1086" i="1"/>
  <c r="AD1086" i="1"/>
  <c r="Z1086" i="1"/>
  <c r="J1086" i="1"/>
  <c r="AL1086" i="1" s="1"/>
  <c r="BJ1084" i="1"/>
  <c r="BF1084" i="1"/>
  <c r="BD1084" i="1"/>
  <c r="AP1084" i="1"/>
  <c r="AO1084" i="1"/>
  <c r="BH1084" i="1" s="1"/>
  <c r="AB1084" i="1" s="1"/>
  <c r="AK1084" i="1"/>
  <c r="AJ1084" i="1"/>
  <c r="AH1084" i="1"/>
  <c r="AG1084" i="1"/>
  <c r="AF1084" i="1"/>
  <c r="AE1084" i="1"/>
  <c r="AD1084" i="1"/>
  <c r="Z1084" i="1"/>
  <c r="J1084" i="1"/>
  <c r="AL1084" i="1" s="1"/>
  <c r="BJ1083" i="1"/>
  <c r="BF1083" i="1"/>
  <c r="BD1083" i="1"/>
  <c r="AP1083" i="1"/>
  <c r="BI1083" i="1" s="1"/>
  <c r="AC1083" i="1" s="1"/>
  <c r="AO1083" i="1"/>
  <c r="BH1083" i="1" s="1"/>
  <c r="AB1083" i="1" s="1"/>
  <c r="AK1083" i="1"/>
  <c r="AJ1083" i="1"/>
  <c r="AH1083" i="1"/>
  <c r="AG1083" i="1"/>
  <c r="AF1083" i="1"/>
  <c r="AE1083" i="1"/>
  <c r="AD1083" i="1"/>
  <c r="Z1083" i="1"/>
  <c r="J1083" i="1"/>
  <c r="AL1083" i="1" s="1"/>
  <c r="H1083" i="1"/>
  <c r="BJ1082" i="1"/>
  <c r="BH1082" i="1"/>
  <c r="AB1082" i="1" s="1"/>
  <c r="BF1082" i="1"/>
  <c r="BD1082" i="1"/>
  <c r="AP1082" i="1"/>
  <c r="BI1082" i="1" s="1"/>
  <c r="AC1082" i="1" s="1"/>
  <c r="AO1082" i="1"/>
  <c r="H1082" i="1" s="1"/>
  <c r="AK1082" i="1"/>
  <c r="AJ1082" i="1"/>
  <c r="AH1082" i="1"/>
  <c r="AG1082" i="1"/>
  <c r="AF1082" i="1"/>
  <c r="AE1082" i="1"/>
  <c r="AD1082" i="1"/>
  <c r="Z1082" i="1"/>
  <c r="J1082" i="1"/>
  <c r="AL1082" i="1" s="1"/>
  <c r="I1082" i="1"/>
  <c r="BJ1081" i="1"/>
  <c r="BF1081" i="1"/>
  <c r="BD1081" i="1"/>
  <c r="AX1081" i="1"/>
  <c r="AW1081" i="1"/>
  <c r="AP1081" i="1"/>
  <c r="I1081" i="1" s="1"/>
  <c r="AO1081" i="1"/>
  <c r="BH1081" i="1" s="1"/>
  <c r="AB1081" i="1" s="1"/>
  <c r="AK1081" i="1"/>
  <c r="AJ1081" i="1"/>
  <c r="AH1081" i="1"/>
  <c r="AG1081" i="1"/>
  <c r="AF1081" i="1"/>
  <c r="AE1081" i="1"/>
  <c r="AD1081" i="1"/>
  <c r="Z1081" i="1"/>
  <c r="J1081" i="1"/>
  <c r="AL1081" i="1" s="1"/>
  <c r="BJ1080" i="1"/>
  <c r="BH1080" i="1"/>
  <c r="AB1080" i="1" s="1"/>
  <c r="BF1080" i="1"/>
  <c r="BD1080" i="1"/>
  <c r="AX1080" i="1"/>
  <c r="BC1080" i="1" s="1"/>
  <c r="AP1080" i="1"/>
  <c r="BI1080" i="1" s="1"/>
  <c r="AC1080" i="1" s="1"/>
  <c r="AO1080" i="1"/>
  <c r="AW1080" i="1" s="1"/>
  <c r="AK1080" i="1"/>
  <c r="AJ1080" i="1"/>
  <c r="AH1080" i="1"/>
  <c r="AG1080" i="1"/>
  <c r="AF1080" i="1"/>
  <c r="AE1080" i="1"/>
  <c r="AD1080" i="1"/>
  <c r="Z1080" i="1"/>
  <c r="J1080" i="1"/>
  <c r="AL1080" i="1" s="1"/>
  <c r="I1080" i="1"/>
  <c r="BJ1079" i="1"/>
  <c r="BF1079" i="1"/>
  <c r="BD1079" i="1"/>
  <c r="AW1079" i="1"/>
  <c r="AP1079" i="1"/>
  <c r="AO1079" i="1"/>
  <c r="BH1079" i="1" s="1"/>
  <c r="AB1079" i="1" s="1"/>
  <c r="AK1079" i="1"/>
  <c r="AJ1079" i="1"/>
  <c r="AH1079" i="1"/>
  <c r="AG1079" i="1"/>
  <c r="AF1079" i="1"/>
  <c r="AE1079" i="1"/>
  <c r="AD1079" i="1"/>
  <c r="Z1079" i="1"/>
  <c r="J1079" i="1"/>
  <c r="AL1079" i="1" s="1"/>
  <c r="H1079" i="1"/>
  <c r="BJ1078" i="1"/>
  <c r="BF1078" i="1"/>
  <c r="BD1078" i="1"/>
  <c r="AW1078" i="1"/>
  <c r="AP1078" i="1"/>
  <c r="BI1078" i="1" s="1"/>
  <c r="AC1078" i="1" s="1"/>
  <c r="AO1078" i="1"/>
  <c r="BH1078" i="1" s="1"/>
  <c r="AB1078" i="1" s="1"/>
  <c r="AK1078" i="1"/>
  <c r="AJ1078" i="1"/>
  <c r="AH1078" i="1"/>
  <c r="AG1078" i="1"/>
  <c r="AF1078" i="1"/>
  <c r="AE1078" i="1"/>
  <c r="AD1078" i="1"/>
  <c r="Z1078" i="1"/>
  <c r="J1078" i="1"/>
  <c r="AL1078" i="1" s="1"/>
  <c r="H1078" i="1"/>
  <c r="BJ1077" i="1"/>
  <c r="BF1077" i="1"/>
  <c r="BD1077" i="1"/>
  <c r="AX1077" i="1"/>
  <c r="AP1077" i="1"/>
  <c r="BI1077" i="1" s="1"/>
  <c r="AC1077" i="1" s="1"/>
  <c r="AO1077" i="1"/>
  <c r="AK1077" i="1"/>
  <c r="AJ1077" i="1"/>
  <c r="AH1077" i="1"/>
  <c r="AG1077" i="1"/>
  <c r="AF1077" i="1"/>
  <c r="AE1077" i="1"/>
  <c r="AD1077" i="1"/>
  <c r="Z1077" i="1"/>
  <c r="J1077" i="1"/>
  <c r="AL1077" i="1" s="1"/>
  <c r="I1077" i="1"/>
  <c r="BJ1076" i="1"/>
  <c r="BI1076" i="1"/>
  <c r="AC1076" i="1" s="1"/>
  <c r="BF1076" i="1"/>
  <c r="BD1076" i="1"/>
  <c r="AP1076" i="1"/>
  <c r="I1076" i="1" s="1"/>
  <c r="AO1076" i="1"/>
  <c r="BH1076" i="1" s="1"/>
  <c r="AB1076" i="1" s="1"/>
  <c r="AK1076" i="1"/>
  <c r="AJ1076" i="1"/>
  <c r="AH1076" i="1"/>
  <c r="AG1076" i="1"/>
  <c r="AF1076" i="1"/>
  <c r="AE1076" i="1"/>
  <c r="AD1076" i="1"/>
  <c r="Z1076" i="1"/>
  <c r="J1076" i="1"/>
  <c r="BJ1075" i="1"/>
  <c r="BF1075" i="1"/>
  <c r="BD1075" i="1"/>
  <c r="AP1075" i="1"/>
  <c r="BI1075" i="1" s="1"/>
  <c r="AC1075" i="1" s="1"/>
  <c r="AO1075" i="1"/>
  <c r="BH1075" i="1" s="1"/>
  <c r="AB1075" i="1" s="1"/>
  <c r="AL1075" i="1"/>
  <c r="AK1075" i="1"/>
  <c r="AJ1075" i="1"/>
  <c r="AH1075" i="1"/>
  <c r="AG1075" i="1"/>
  <c r="AF1075" i="1"/>
  <c r="AE1075" i="1"/>
  <c r="AD1075" i="1"/>
  <c r="Z1075" i="1"/>
  <c r="J1075" i="1"/>
  <c r="H1075" i="1"/>
  <c r="BJ1073" i="1"/>
  <c r="BI1073" i="1"/>
  <c r="AC1073" i="1" s="1"/>
  <c r="BF1073" i="1"/>
  <c r="BD1073" i="1"/>
  <c r="AP1073" i="1"/>
  <c r="I1073" i="1" s="1"/>
  <c r="AO1073" i="1"/>
  <c r="BH1073" i="1" s="1"/>
  <c r="AB1073" i="1" s="1"/>
  <c r="AK1073" i="1"/>
  <c r="AJ1073" i="1"/>
  <c r="AH1073" i="1"/>
  <c r="AG1073" i="1"/>
  <c r="AF1073" i="1"/>
  <c r="AE1073" i="1"/>
  <c r="AD1073" i="1"/>
  <c r="Z1073" i="1"/>
  <c r="J1073" i="1"/>
  <c r="AL1073" i="1" s="1"/>
  <c r="BJ1072" i="1"/>
  <c r="BI1072" i="1"/>
  <c r="AC1072" i="1" s="1"/>
  <c r="BF1072" i="1"/>
  <c r="BD1072" i="1"/>
  <c r="AP1072" i="1"/>
  <c r="AO1072" i="1"/>
  <c r="BH1072" i="1" s="1"/>
  <c r="AB1072" i="1" s="1"/>
  <c r="AL1072" i="1"/>
  <c r="AK1072" i="1"/>
  <c r="AJ1072" i="1"/>
  <c r="AH1072" i="1"/>
  <c r="AG1072" i="1"/>
  <c r="AF1072" i="1"/>
  <c r="AE1072" i="1"/>
  <c r="AD1072" i="1"/>
  <c r="Z1072" i="1"/>
  <c r="J1072" i="1"/>
  <c r="H1072" i="1"/>
  <c r="BJ1071" i="1"/>
  <c r="BH1071" i="1"/>
  <c r="BF1071" i="1"/>
  <c r="BD1071" i="1"/>
  <c r="AW1071" i="1"/>
  <c r="AP1071" i="1"/>
  <c r="AX1071" i="1" s="1"/>
  <c r="AO1071" i="1"/>
  <c r="H1071" i="1" s="1"/>
  <c r="AL1071" i="1"/>
  <c r="AK1071" i="1"/>
  <c r="AJ1071" i="1"/>
  <c r="AH1071" i="1"/>
  <c r="AG1071" i="1"/>
  <c r="AF1071" i="1"/>
  <c r="AE1071" i="1"/>
  <c r="AD1071" i="1"/>
  <c r="AB1071" i="1"/>
  <c r="Z1071" i="1"/>
  <c r="J1071" i="1"/>
  <c r="BJ1070" i="1"/>
  <c r="BF1070" i="1"/>
  <c r="BD1070" i="1"/>
  <c r="AX1070" i="1"/>
  <c r="AP1070" i="1"/>
  <c r="BI1070" i="1" s="1"/>
  <c r="AC1070" i="1" s="1"/>
  <c r="AO1070" i="1"/>
  <c r="H1070" i="1" s="1"/>
  <c r="AL1070" i="1"/>
  <c r="AK1070" i="1"/>
  <c r="AJ1070" i="1"/>
  <c r="AH1070" i="1"/>
  <c r="AG1070" i="1"/>
  <c r="AF1070" i="1"/>
  <c r="AE1070" i="1"/>
  <c r="AD1070" i="1"/>
  <c r="Z1070" i="1"/>
  <c r="J1070" i="1"/>
  <c r="I1070" i="1"/>
  <c r="BJ1069" i="1"/>
  <c r="BF1069" i="1"/>
  <c r="BD1069" i="1"/>
  <c r="AX1069" i="1"/>
  <c r="AP1069" i="1"/>
  <c r="I1069" i="1" s="1"/>
  <c r="AO1069" i="1"/>
  <c r="AW1069" i="1" s="1"/>
  <c r="AK1069" i="1"/>
  <c r="AJ1069" i="1"/>
  <c r="AH1069" i="1"/>
  <c r="AG1069" i="1"/>
  <c r="AF1069" i="1"/>
  <c r="AE1069" i="1"/>
  <c r="AD1069" i="1"/>
  <c r="Z1069" i="1"/>
  <c r="J1069" i="1"/>
  <c r="AL1069" i="1" s="1"/>
  <c r="BJ1068" i="1"/>
  <c r="BF1068" i="1"/>
  <c r="BD1068" i="1"/>
  <c r="AP1068" i="1"/>
  <c r="AX1068" i="1" s="1"/>
  <c r="AO1068" i="1"/>
  <c r="BH1068" i="1" s="1"/>
  <c r="AB1068" i="1" s="1"/>
  <c r="AL1068" i="1"/>
  <c r="AK1068" i="1"/>
  <c r="AJ1068" i="1"/>
  <c r="AH1068" i="1"/>
  <c r="AG1068" i="1"/>
  <c r="AF1068" i="1"/>
  <c r="AE1068" i="1"/>
  <c r="AD1068" i="1"/>
  <c r="Z1068" i="1"/>
  <c r="J1068" i="1"/>
  <c r="BJ1067" i="1"/>
  <c r="BF1067" i="1"/>
  <c r="BD1067" i="1"/>
  <c r="AP1067" i="1"/>
  <c r="AO1067" i="1"/>
  <c r="AW1067" i="1" s="1"/>
  <c r="AL1067" i="1"/>
  <c r="AK1067" i="1"/>
  <c r="AJ1067" i="1"/>
  <c r="AH1067" i="1"/>
  <c r="AG1067" i="1"/>
  <c r="AF1067" i="1"/>
  <c r="AE1067" i="1"/>
  <c r="AD1067" i="1"/>
  <c r="Z1067" i="1"/>
  <c r="J1067" i="1"/>
  <c r="H1067" i="1"/>
  <c r="BJ1066" i="1"/>
  <c r="BF1066" i="1"/>
  <c r="BD1066" i="1"/>
  <c r="AW1066" i="1"/>
  <c r="BC1066" i="1" s="1"/>
  <c r="AP1066" i="1"/>
  <c r="AX1066" i="1" s="1"/>
  <c r="AO1066" i="1"/>
  <c r="BH1066" i="1" s="1"/>
  <c r="AB1066" i="1" s="1"/>
  <c r="AL1066" i="1"/>
  <c r="AK1066" i="1"/>
  <c r="AJ1066" i="1"/>
  <c r="AH1066" i="1"/>
  <c r="AG1066" i="1"/>
  <c r="AF1066" i="1"/>
  <c r="AE1066" i="1"/>
  <c r="AD1066" i="1"/>
  <c r="Z1066" i="1"/>
  <c r="J1066" i="1"/>
  <c r="I1066" i="1"/>
  <c r="H1066" i="1"/>
  <c r="BJ1065" i="1"/>
  <c r="BF1065" i="1"/>
  <c r="BD1065" i="1"/>
  <c r="AX1065" i="1"/>
  <c r="AP1065" i="1"/>
  <c r="BI1065" i="1" s="1"/>
  <c r="AC1065" i="1" s="1"/>
  <c r="AO1065" i="1"/>
  <c r="H1065" i="1" s="1"/>
  <c r="AK1065" i="1"/>
  <c r="AJ1065" i="1"/>
  <c r="AH1065" i="1"/>
  <c r="AG1065" i="1"/>
  <c r="AF1065" i="1"/>
  <c r="AE1065" i="1"/>
  <c r="AD1065" i="1"/>
  <c r="Z1065" i="1"/>
  <c r="J1065" i="1"/>
  <c r="AL1065" i="1" s="1"/>
  <c r="I1065" i="1"/>
  <c r="BJ1064" i="1"/>
  <c r="BF1064" i="1"/>
  <c r="BD1064" i="1"/>
  <c r="AW1064" i="1"/>
  <c r="AP1064" i="1"/>
  <c r="I1064" i="1" s="1"/>
  <c r="AO1064" i="1"/>
  <c r="BH1064" i="1" s="1"/>
  <c r="AB1064" i="1" s="1"/>
  <c r="AK1064" i="1"/>
  <c r="AJ1064" i="1"/>
  <c r="AH1064" i="1"/>
  <c r="AG1064" i="1"/>
  <c r="AF1064" i="1"/>
  <c r="AE1064" i="1"/>
  <c r="AD1064" i="1"/>
  <c r="Z1064" i="1"/>
  <c r="J1064" i="1"/>
  <c r="H1064" i="1"/>
  <c r="BJ1063" i="1"/>
  <c r="BF1063" i="1"/>
  <c r="BD1063" i="1"/>
  <c r="AX1063" i="1"/>
  <c r="AV1063" i="1" s="1"/>
  <c r="AW1063" i="1"/>
  <c r="BC1063" i="1" s="1"/>
  <c r="AP1063" i="1"/>
  <c r="BI1063" i="1" s="1"/>
  <c r="AC1063" i="1" s="1"/>
  <c r="AO1063" i="1"/>
  <c r="BH1063" i="1" s="1"/>
  <c r="AB1063" i="1" s="1"/>
  <c r="AK1063" i="1"/>
  <c r="AJ1063" i="1"/>
  <c r="AS1062" i="1" s="1"/>
  <c r="AH1063" i="1"/>
  <c r="AG1063" i="1"/>
  <c r="AF1063" i="1"/>
  <c r="AE1063" i="1"/>
  <c r="AD1063" i="1"/>
  <c r="Z1063" i="1"/>
  <c r="J1063" i="1"/>
  <c r="AL1063" i="1" s="1"/>
  <c r="I1063" i="1"/>
  <c r="H1063" i="1"/>
  <c r="BJ1061" i="1"/>
  <c r="BF1061" i="1"/>
  <c r="BD1061" i="1"/>
  <c r="AX1061" i="1"/>
  <c r="AP1061" i="1"/>
  <c r="I1061" i="1" s="1"/>
  <c r="AO1061" i="1"/>
  <c r="BH1061" i="1" s="1"/>
  <c r="AB1061" i="1" s="1"/>
  <c r="AK1061" i="1"/>
  <c r="AJ1061" i="1"/>
  <c r="AH1061" i="1"/>
  <c r="AG1061" i="1"/>
  <c r="AF1061" i="1"/>
  <c r="AE1061" i="1"/>
  <c r="AD1061" i="1"/>
  <c r="Z1061" i="1"/>
  <c r="J1061" i="1"/>
  <c r="AL1061" i="1" s="1"/>
  <c r="BJ1060" i="1"/>
  <c r="BF1060" i="1"/>
  <c r="BD1060" i="1"/>
  <c r="AX1060" i="1"/>
  <c r="AP1060" i="1"/>
  <c r="BI1060" i="1" s="1"/>
  <c r="AC1060" i="1" s="1"/>
  <c r="AO1060" i="1"/>
  <c r="BH1060" i="1" s="1"/>
  <c r="AB1060" i="1" s="1"/>
  <c r="AK1060" i="1"/>
  <c r="AJ1060" i="1"/>
  <c r="AH1060" i="1"/>
  <c r="AG1060" i="1"/>
  <c r="AF1060" i="1"/>
  <c r="AE1060" i="1"/>
  <c r="AD1060" i="1"/>
  <c r="Z1060" i="1"/>
  <c r="J1060" i="1"/>
  <c r="AL1060" i="1" s="1"/>
  <c r="I1060" i="1"/>
  <c r="BJ1059" i="1"/>
  <c r="BF1059" i="1"/>
  <c r="BD1059" i="1"/>
  <c r="AW1059" i="1"/>
  <c r="AP1059" i="1"/>
  <c r="BI1059" i="1" s="1"/>
  <c r="AC1059" i="1" s="1"/>
  <c r="AO1059" i="1"/>
  <c r="H1059" i="1" s="1"/>
  <c r="AK1059" i="1"/>
  <c r="AJ1059" i="1"/>
  <c r="AH1059" i="1"/>
  <c r="AG1059" i="1"/>
  <c r="AF1059" i="1"/>
  <c r="AE1059" i="1"/>
  <c r="AD1059" i="1"/>
  <c r="Z1059" i="1"/>
  <c r="J1059" i="1"/>
  <c r="AL1059" i="1" s="1"/>
  <c r="I1059" i="1"/>
  <c r="BJ1058" i="1"/>
  <c r="BF1058" i="1"/>
  <c r="BD1058" i="1"/>
  <c r="AX1058" i="1"/>
  <c r="AP1058" i="1"/>
  <c r="I1058" i="1" s="1"/>
  <c r="AO1058" i="1"/>
  <c r="AW1058" i="1" s="1"/>
  <c r="AL1058" i="1"/>
  <c r="AK1058" i="1"/>
  <c r="AJ1058" i="1"/>
  <c r="AH1058" i="1"/>
  <c r="AG1058" i="1"/>
  <c r="AF1058" i="1"/>
  <c r="AE1058" i="1"/>
  <c r="AD1058" i="1"/>
  <c r="Z1058" i="1"/>
  <c r="J1058" i="1"/>
  <c r="BJ1055" i="1"/>
  <c r="BF1055" i="1"/>
  <c r="BD1055" i="1"/>
  <c r="AP1055" i="1"/>
  <c r="BI1055" i="1" s="1"/>
  <c r="AC1055" i="1" s="1"/>
  <c r="AO1055" i="1"/>
  <c r="AW1055" i="1" s="1"/>
  <c r="AK1055" i="1"/>
  <c r="AJ1055" i="1"/>
  <c r="AH1055" i="1"/>
  <c r="AG1055" i="1"/>
  <c r="AF1055" i="1"/>
  <c r="AE1055" i="1"/>
  <c r="AD1055" i="1"/>
  <c r="Z1055" i="1"/>
  <c r="J1055" i="1"/>
  <c r="AL1055" i="1" s="1"/>
  <c r="H1055" i="1"/>
  <c r="BJ1054" i="1"/>
  <c r="BF1054" i="1"/>
  <c r="BD1054" i="1"/>
  <c r="AP1054" i="1"/>
  <c r="AX1054" i="1" s="1"/>
  <c r="AO1054" i="1"/>
  <c r="BH1054" i="1" s="1"/>
  <c r="AB1054" i="1" s="1"/>
  <c r="AK1054" i="1"/>
  <c r="AJ1054" i="1"/>
  <c r="AH1054" i="1"/>
  <c r="AG1054" i="1"/>
  <c r="AF1054" i="1"/>
  <c r="AE1054" i="1"/>
  <c r="AD1054" i="1"/>
  <c r="Z1054" i="1"/>
  <c r="J1054" i="1"/>
  <c r="AL1054" i="1" s="1"/>
  <c r="I1054" i="1"/>
  <c r="H1054" i="1"/>
  <c r="BJ1053" i="1"/>
  <c r="BF1053" i="1"/>
  <c r="BD1053" i="1"/>
  <c r="AX1053" i="1"/>
  <c r="AP1053" i="1"/>
  <c r="BI1053" i="1" s="1"/>
  <c r="AC1053" i="1" s="1"/>
  <c r="AO1053" i="1"/>
  <c r="H1053" i="1" s="1"/>
  <c r="AK1053" i="1"/>
  <c r="AJ1053" i="1"/>
  <c r="AH1053" i="1"/>
  <c r="AG1053" i="1"/>
  <c r="AF1053" i="1"/>
  <c r="AE1053" i="1"/>
  <c r="AD1053" i="1"/>
  <c r="Z1053" i="1"/>
  <c r="J1053" i="1"/>
  <c r="AL1053" i="1" s="1"/>
  <c r="BJ1052" i="1"/>
  <c r="BF1052" i="1"/>
  <c r="BD1052" i="1"/>
  <c r="AP1052" i="1"/>
  <c r="I1052" i="1" s="1"/>
  <c r="AO1052" i="1"/>
  <c r="BH1052" i="1" s="1"/>
  <c r="AB1052" i="1" s="1"/>
  <c r="AK1052" i="1"/>
  <c r="AJ1052" i="1"/>
  <c r="AH1052" i="1"/>
  <c r="AG1052" i="1"/>
  <c r="AF1052" i="1"/>
  <c r="AE1052" i="1"/>
  <c r="AD1052" i="1"/>
  <c r="Z1052" i="1"/>
  <c r="J1052" i="1"/>
  <c r="BJ1048" i="1"/>
  <c r="BF1048" i="1"/>
  <c r="BD1048" i="1"/>
  <c r="AW1048" i="1"/>
  <c r="AP1048" i="1"/>
  <c r="BI1048" i="1" s="1"/>
  <c r="AC1048" i="1" s="1"/>
  <c r="AO1048" i="1"/>
  <c r="H1048" i="1" s="1"/>
  <c r="AK1048" i="1"/>
  <c r="AJ1048" i="1"/>
  <c r="AH1048" i="1"/>
  <c r="AG1048" i="1"/>
  <c r="AF1048" i="1"/>
  <c r="AE1048" i="1"/>
  <c r="AD1048" i="1"/>
  <c r="Z1048" i="1"/>
  <c r="J1048" i="1"/>
  <c r="AL1048" i="1" s="1"/>
  <c r="I1048" i="1"/>
  <c r="BJ1046" i="1"/>
  <c r="BF1046" i="1"/>
  <c r="BD1046" i="1"/>
  <c r="AP1046" i="1"/>
  <c r="I1046" i="1" s="1"/>
  <c r="AO1046" i="1"/>
  <c r="AW1046" i="1" s="1"/>
  <c r="AK1046" i="1"/>
  <c r="AJ1046" i="1"/>
  <c r="AH1046" i="1"/>
  <c r="AG1046" i="1"/>
  <c r="AF1046" i="1"/>
  <c r="AE1046" i="1"/>
  <c r="AD1046" i="1"/>
  <c r="Z1046" i="1"/>
  <c r="J1046" i="1"/>
  <c r="AL1046" i="1" s="1"/>
  <c r="BJ1044" i="1"/>
  <c r="BH1044" i="1"/>
  <c r="AB1044" i="1" s="1"/>
  <c r="BF1044" i="1"/>
  <c r="BD1044" i="1"/>
  <c r="AP1044" i="1"/>
  <c r="AX1044" i="1" s="1"/>
  <c r="AO1044" i="1"/>
  <c r="AL1044" i="1"/>
  <c r="AK1044" i="1"/>
  <c r="AJ1044" i="1"/>
  <c r="AH1044" i="1"/>
  <c r="AG1044" i="1"/>
  <c r="AF1044" i="1"/>
  <c r="AE1044" i="1"/>
  <c r="AD1044" i="1"/>
  <c r="Z1044" i="1"/>
  <c r="J1044" i="1"/>
  <c r="BJ1042" i="1"/>
  <c r="BF1042" i="1"/>
  <c r="BD1042" i="1"/>
  <c r="AP1042" i="1"/>
  <c r="BI1042" i="1" s="1"/>
  <c r="AC1042" i="1" s="1"/>
  <c r="AO1042" i="1"/>
  <c r="AW1042" i="1" s="1"/>
  <c r="AK1042" i="1"/>
  <c r="AJ1042" i="1"/>
  <c r="AH1042" i="1"/>
  <c r="AG1042" i="1"/>
  <c r="AF1042" i="1"/>
  <c r="AE1042" i="1"/>
  <c r="AD1042" i="1"/>
  <c r="Z1042" i="1"/>
  <c r="J1042" i="1"/>
  <c r="AL1042" i="1" s="1"/>
  <c r="H1042" i="1"/>
  <c r="BJ1040" i="1"/>
  <c r="BF1040" i="1"/>
  <c r="BD1040" i="1"/>
  <c r="AP1040" i="1"/>
  <c r="AX1040" i="1" s="1"/>
  <c r="AO1040" i="1"/>
  <c r="BH1040" i="1" s="1"/>
  <c r="AB1040" i="1" s="1"/>
  <c r="AK1040" i="1"/>
  <c r="AJ1040" i="1"/>
  <c r="AH1040" i="1"/>
  <c r="AG1040" i="1"/>
  <c r="AF1040" i="1"/>
  <c r="AE1040" i="1"/>
  <c r="AD1040" i="1"/>
  <c r="Z1040" i="1"/>
  <c r="J1040" i="1"/>
  <c r="AL1040" i="1" s="1"/>
  <c r="I1040" i="1"/>
  <c r="H1040" i="1"/>
  <c r="BJ1038" i="1"/>
  <c r="BF1038" i="1"/>
  <c r="BD1038" i="1"/>
  <c r="AX1038" i="1"/>
  <c r="AP1038" i="1"/>
  <c r="BI1038" i="1" s="1"/>
  <c r="AC1038" i="1" s="1"/>
  <c r="AO1038" i="1"/>
  <c r="H1038" i="1" s="1"/>
  <c r="AK1038" i="1"/>
  <c r="AJ1038" i="1"/>
  <c r="AH1038" i="1"/>
  <c r="AG1038" i="1"/>
  <c r="AF1038" i="1"/>
  <c r="AE1038" i="1"/>
  <c r="AD1038" i="1"/>
  <c r="Z1038" i="1"/>
  <c r="J1038" i="1"/>
  <c r="AL1038" i="1" s="1"/>
  <c r="I1038" i="1"/>
  <c r="BJ1036" i="1"/>
  <c r="BF1036" i="1"/>
  <c r="BD1036" i="1"/>
  <c r="AP1036" i="1"/>
  <c r="AO1036" i="1"/>
  <c r="BH1036" i="1" s="1"/>
  <c r="AB1036" i="1" s="1"/>
  <c r="AK1036" i="1"/>
  <c r="AJ1036" i="1"/>
  <c r="AH1036" i="1"/>
  <c r="AG1036" i="1"/>
  <c r="AF1036" i="1"/>
  <c r="AE1036" i="1"/>
  <c r="AD1036" i="1"/>
  <c r="Z1036" i="1"/>
  <c r="J1036" i="1"/>
  <c r="BJ1034" i="1"/>
  <c r="BF1034" i="1"/>
  <c r="BD1034" i="1"/>
  <c r="AW1034" i="1"/>
  <c r="AP1034" i="1"/>
  <c r="BI1034" i="1" s="1"/>
  <c r="AC1034" i="1" s="1"/>
  <c r="AO1034" i="1"/>
  <c r="BH1034" i="1" s="1"/>
  <c r="AB1034" i="1" s="1"/>
  <c r="AK1034" i="1"/>
  <c r="AJ1034" i="1"/>
  <c r="AH1034" i="1"/>
  <c r="AG1034" i="1"/>
  <c r="AF1034" i="1"/>
  <c r="AE1034" i="1"/>
  <c r="AD1034" i="1"/>
  <c r="Z1034" i="1"/>
  <c r="J1034" i="1"/>
  <c r="AL1034" i="1" s="1"/>
  <c r="I1034" i="1"/>
  <c r="H1034" i="1"/>
  <c r="BJ1031" i="1"/>
  <c r="BI1031" i="1"/>
  <c r="BF1031" i="1"/>
  <c r="BD1031" i="1"/>
  <c r="AP1031" i="1"/>
  <c r="I1031" i="1" s="1"/>
  <c r="AO1031" i="1"/>
  <c r="BH1031" i="1" s="1"/>
  <c r="AK1031" i="1"/>
  <c r="AJ1031" i="1"/>
  <c r="AH1031" i="1"/>
  <c r="AG1031" i="1"/>
  <c r="AF1031" i="1"/>
  <c r="AE1031" i="1"/>
  <c r="AD1031" i="1"/>
  <c r="AC1031" i="1"/>
  <c r="AB1031" i="1"/>
  <c r="Z1031" i="1"/>
  <c r="J1031" i="1"/>
  <c r="AL1031" i="1" s="1"/>
  <c r="H1031" i="1"/>
  <c r="BJ1030" i="1"/>
  <c r="BF1030" i="1"/>
  <c r="BD1030" i="1"/>
  <c r="AX1030" i="1"/>
  <c r="AP1030" i="1"/>
  <c r="BI1030" i="1" s="1"/>
  <c r="AE1030" i="1" s="1"/>
  <c r="AO1030" i="1"/>
  <c r="BH1030" i="1" s="1"/>
  <c r="AD1030" i="1" s="1"/>
  <c r="AK1030" i="1"/>
  <c r="AJ1030" i="1"/>
  <c r="AH1030" i="1"/>
  <c r="AG1030" i="1"/>
  <c r="AF1030" i="1"/>
  <c r="AC1030" i="1"/>
  <c r="AB1030" i="1"/>
  <c r="Z1030" i="1"/>
  <c r="J1030" i="1"/>
  <c r="AL1030" i="1" s="1"/>
  <c r="I1030" i="1"/>
  <c r="H1030" i="1"/>
  <c r="BJ1028" i="1"/>
  <c r="BF1028" i="1"/>
  <c r="BD1028" i="1"/>
  <c r="AX1028" i="1"/>
  <c r="AP1028" i="1"/>
  <c r="BI1028" i="1" s="1"/>
  <c r="AE1028" i="1" s="1"/>
  <c r="AO1028" i="1"/>
  <c r="BH1028" i="1" s="1"/>
  <c r="AD1028" i="1" s="1"/>
  <c r="AL1028" i="1"/>
  <c r="AK1028" i="1"/>
  <c r="AJ1028" i="1"/>
  <c r="AH1028" i="1"/>
  <c r="AG1028" i="1"/>
  <c r="AF1028" i="1"/>
  <c r="AC1028" i="1"/>
  <c r="AB1028" i="1"/>
  <c r="Z1028" i="1"/>
  <c r="J1028" i="1"/>
  <c r="I1028" i="1"/>
  <c r="H1028" i="1"/>
  <c r="BJ1026" i="1"/>
  <c r="BF1026" i="1"/>
  <c r="BD1026" i="1"/>
  <c r="AX1026" i="1"/>
  <c r="AP1026" i="1"/>
  <c r="BI1026" i="1" s="1"/>
  <c r="AE1026" i="1" s="1"/>
  <c r="AO1026" i="1"/>
  <c r="AW1026" i="1" s="1"/>
  <c r="AK1026" i="1"/>
  <c r="AJ1026" i="1"/>
  <c r="AH1026" i="1"/>
  <c r="AG1026" i="1"/>
  <c r="AF1026" i="1"/>
  <c r="AC1026" i="1"/>
  <c r="AB1026" i="1"/>
  <c r="Z1026" i="1"/>
  <c r="J1026" i="1"/>
  <c r="AL1026" i="1" s="1"/>
  <c r="I1026" i="1"/>
  <c r="BJ1024" i="1"/>
  <c r="BF1024" i="1"/>
  <c r="BD1024" i="1"/>
  <c r="AP1024" i="1"/>
  <c r="AX1024" i="1" s="1"/>
  <c r="AO1024" i="1"/>
  <c r="BH1024" i="1" s="1"/>
  <c r="AD1024" i="1" s="1"/>
  <c r="AK1024" i="1"/>
  <c r="AJ1024" i="1"/>
  <c r="AH1024" i="1"/>
  <c r="AG1024" i="1"/>
  <c r="AF1024" i="1"/>
  <c r="AC1024" i="1"/>
  <c r="AB1024" i="1"/>
  <c r="Z1024" i="1"/>
  <c r="J1024" i="1"/>
  <c r="AL1024" i="1" s="1"/>
  <c r="BJ1022" i="1"/>
  <c r="BF1022" i="1"/>
  <c r="BD1022" i="1"/>
  <c r="AP1022" i="1"/>
  <c r="BI1022" i="1" s="1"/>
  <c r="AE1022" i="1" s="1"/>
  <c r="AO1022" i="1"/>
  <c r="AL1022" i="1"/>
  <c r="AK1022" i="1"/>
  <c r="AJ1022" i="1"/>
  <c r="AH1022" i="1"/>
  <c r="AG1022" i="1"/>
  <c r="AF1022" i="1"/>
  <c r="AC1022" i="1"/>
  <c r="AB1022" i="1"/>
  <c r="Z1022" i="1"/>
  <c r="J1022" i="1"/>
  <c r="BJ1020" i="1"/>
  <c r="BF1020" i="1"/>
  <c r="BD1020" i="1"/>
  <c r="AW1020" i="1"/>
  <c r="AP1020" i="1"/>
  <c r="AX1020" i="1" s="1"/>
  <c r="AO1020" i="1"/>
  <c r="BH1020" i="1" s="1"/>
  <c r="AD1020" i="1" s="1"/>
  <c r="AK1020" i="1"/>
  <c r="AJ1020" i="1"/>
  <c r="AH1020" i="1"/>
  <c r="AG1020" i="1"/>
  <c r="AF1020" i="1"/>
  <c r="AC1020" i="1"/>
  <c r="AB1020" i="1"/>
  <c r="Z1020" i="1"/>
  <c r="J1020" i="1"/>
  <c r="AL1020" i="1" s="1"/>
  <c r="I1020" i="1"/>
  <c r="H1020" i="1"/>
  <c r="BJ1018" i="1"/>
  <c r="BF1018" i="1"/>
  <c r="BD1018" i="1"/>
  <c r="AP1018" i="1"/>
  <c r="BI1018" i="1" s="1"/>
  <c r="AE1018" i="1" s="1"/>
  <c r="AO1018" i="1"/>
  <c r="H1018" i="1" s="1"/>
  <c r="AK1018" i="1"/>
  <c r="AJ1018" i="1"/>
  <c r="AH1018" i="1"/>
  <c r="AG1018" i="1"/>
  <c r="AF1018" i="1"/>
  <c r="AC1018" i="1"/>
  <c r="AB1018" i="1"/>
  <c r="Z1018" i="1"/>
  <c r="J1018" i="1"/>
  <c r="AL1018" i="1" s="1"/>
  <c r="BJ1016" i="1"/>
  <c r="BI1016" i="1"/>
  <c r="AE1016" i="1" s="1"/>
  <c r="BF1016" i="1"/>
  <c r="BD1016" i="1"/>
  <c r="AW1016" i="1"/>
  <c r="AP1016" i="1"/>
  <c r="I1016" i="1" s="1"/>
  <c r="AO1016" i="1"/>
  <c r="BH1016" i="1" s="1"/>
  <c r="AD1016" i="1" s="1"/>
  <c r="AK1016" i="1"/>
  <c r="AJ1016" i="1"/>
  <c r="AH1016" i="1"/>
  <c r="AG1016" i="1"/>
  <c r="AF1016" i="1"/>
  <c r="AC1016" i="1"/>
  <c r="AB1016" i="1"/>
  <c r="Z1016" i="1"/>
  <c r="J1016" i="1"/>
  <c r="AL1016" i="1" s="1"/>
  <c r="H1016" i="1"/>
  <c r="BJ1014" i="1"/>
  <c r="BF1014" i="1"/>
  <c r="BD1014" i="1"/>
  <c r="AP1014" i="1"/>
  <c r="BI1014" i="1" s="1"/>
  <c r="AE1014" i="1" s="1"/>
  <c r="AO1014" i="1"/>
  <c r="BH1014" i="1" s="1"/>
  <c r="AD1014" i="1" s="1"/>
  <c r="AK1014" i="1"/>
  <c r="AJ1014" i="1"/>
  <c r="AH1014" i="1"/>
  <c r="AG1014" i="1"/>
  <c r="AF1014" i="1"/>
  <c r="AC1014" i="1"/>
  <c r="AB1014" i="1"/>
  <c r="Z1014" i="1"/>
  <c r="J1014" i="1"/>
  <c r="AL1014" i="1" s="1"/>
  <c r="H1014" i="1"/>
  <c r="BJ1012" i="1"/>
  <c r="BF1012" i="1"/>
  <c r="BD1012" i="1"/>
  <c r="AW1012" i="1"/>
  <c r="AP1012" i="1"/>
  <c r="BI1012" i="1" s="1"/>
  <c r="AE1012" i="1" s="1"/>
  <c r="AO1012" i="1"/>
  <c r="BH1012" i="1" s="1"/>
  <c r="AD1012" i="1" s="1"/>
  <c r="AK1012" i="1"/>
  <c r="AJ1012" i="1"/>
  <c r="AH1012" i="1"/>
  <c r="AG1012" i="1"/>
  <c r="AF1012" i="1"/>
  <c r="AC1012" i="1"/>
  <c r="AB1012" i="1"/>
  <c r="Z1012" i="1"/>
  <c r="J1012" i="1"/>
  <c r="AL1012" i="1" s="1"/>
  <c r="I1012" i="1"/>
  <c r="H1012" i="1"/>
  <c r="BJ1010" i="1"/>
  <c r="BF1010" i="1"/>
  <c r="BD1010" i="1"/>
  <c r="AX1010" i="1"/>
  <c r="AP1010" i="1"/>
  <c r="BI1010" i="1" s="1"/>
  <c r="AE1010" i="1" s="1"/>
  <c r="AO1010" i="1"/>
  <c r="AW1010" i="1" s="1"/>
  <c r="AK1010" i="1"/>
  <c r="AJ1010" i="1"/>
  <c r="AH1010" i="1"/>
  <c r="AG1010" i="1"/>
  <c r="AF1010" i="1"/>
  <c r="AC1010" i="1"/>
  <c r="AB1010" i="1"/>
  <c r="Z1010" i="1"/>
  <c r="J1010" i="1"/>
  <c r="AL1010" i="1" s="1"/>
  <c r="I1010" i="1"/>
  <c r="BJ1008" i="1"/>
  <c r="BF1008" i="1"/>
  <c r="BD1008" i="1"/>
  <c r="AP1008" i="1"/>
  <c r="AX1008" i="1" s="1"/>
  <c r="AO1008" i="1"/>
  <c r="BH1008" i="1" s="1"/>
  <c r="AD1008" i="1" s="1"/>
  <c r="AK1008" i="1"/>
  <c r="AJ1008" i="1"/>
  <c r="AH1008" i="1"/>
  <c r="AG1008" i="1"/>
  <c r="AF1008" i="1"/>
  <c r="AC1008" i="1"/>
  <c r="AB1008" i="1"/>
  <c r="Z1008" i="1"/>
  <c r="J1008" i="1"/>
  <c r="AL1008" i="1" s="1"/>
  <c r="BJ1006" i="1"/>
  <c r="BF1006" i="1"/>
  <c r="BD1006" i="1"/>
  <c r="AP1006" i="1"/>
  <c r="BI1006" i="1" s="1"/>
  <c r="AE1006" i="1" s="1"/>
  <c r="AO1006" i="1"/>
  <c r="AW1006" i="1" s="1"/>
  <c r="AK1006" i="1"/>
  <c r="AJ1006" i="1"/>
  <c r="AH1006" i="1"/>
  <c r="AG1006" i="1"/>
  <c r="AF1006" i="1"/>
  <c r="AC1006" i="1"/>
  <c r="AB1006" i="1"/>
  <c r="Z1006" i="1"/>
  <c r="J1006" i="1"/>
  <c r="AL1006" i="1" s="1"/>
  <c r="H1006" i="1"/>
  <c r="BJ1004" i="1"/>
  <c r="BF1004" i="1"/>
  <c r="BD1004" i="1"/>
  <c r="AP1004" i="1"/>
  <c r="AX1004" i="1" s="1"/>
  <c r="AO1004" i="1"/>
  <c r="BH1004" i="1" s="1"/>
  <c r="AD1004" i="1" s="1"/>
  <c r="AL1004" i="1"/>
  <c r="AK1004" i="1"/>
  <c r="AJ1004" i="1"/>
  <c r="AH1004" i="1"/>
  <c r="AG1004" i="1"/>
  <c r="AF1004" i="1"/>
  <c r="AC1004" i="1"/>
  <c r="AB1004" i="1"/>
  <c r="Z1004" i="1"/>
  <c r="J1004" i="1"/>
  <c r="I1004" i="1"/>
  <c r="H1004" i="1"/>
  <c r="BJ1002" i="1"/>
  <c r="BF1002" i="1"/>
  <c r="BD1002" i="1"/>
  <c r="AX1002" i="1"/>
  <c r="AW1002" i="1"/>
  <c r="AP1002" i="1"/>
  <c r="BI1002" i="1" s="1"/>
  <c r="AE1002" i="1" s="1"/>
  <c r="AO1002" i="1"/>
  <c r="H1002" i="1" s="1"/>
  <c r="AK1002" i="1"/>
  <c r="AJ1002" i="1"/>
  <c r="AH1002" i="1"/>
  <c r="AG1002" i="1"/>
  <c r="AF1002" i="1"/>
  <c r="AC1002" i="1"/>
  <c r="AB1002" i="1"/>
  <c r="Z1002" i="1"/>
  <c r="J1002" i="1"/>
  <c r="AL1002" i="1" s="1"/>
  <c r="I1002" i="1"/>
  <c r="BJ1000" i="1"/>
  <c r="BI1000" i="1"/>
  <c r="AE1000" i="1" s="1"/>
  <c r="BF1000" i="1"/>
  <c r="BD1000" i="1"/>
  <c r="AP1000" i="1"/>
  <c r="I1000" i="1" s="1"/>
  <c r="AO1000" i="1"/>
  <c r="BH1000" i="1" s="1"/>
  <c r="AD1000" i="1" s="1"/>
  <c r="AK1000" i="1"/>
  <c r="AJ1000" i="1"/>
  <c r="AH1000" i="1"/>
  <c r="AG1000" i="1"/>
  <c r="AF1000" i="1"/>
  <c r="AC1000" i="1"/>
  <c r="AB1000" i="1"/>
  <c r="Z1000" i="1"/>
  <c r="J1000" i="1"/>
  <c r="AL1000" i="1" s="1"/>
  <c r="BJ998" i="1"/>
  <c r="BF998" i="1"/>
  <c r="BD998" i="1"/>
  <c r="AP998" i="1"/>
  <c r="BI998" i="1" s="1"/>
  <c r="AE998" i="1" s="1"/>
  <c r="AO998" i="1"/>
  <c r="BH998" i="1" s="1"/>
  <c r="AD998" i="1" s="1"/>
  <c r="AK998" i="1"/>
  <c r="AJ998" i="1"/>
  <c r="AH998" i="1"/>
  <c r="AG998" i="1"/>
  <c r="AF998" i="1"/>
  <c r="AC998" i="1"/>
  <c r="AB998" i="1"/>
  <c r="Z998" i="1"/>
  <c r="J998" i="1"/>
  <c r="AL998" i="1" s="1"/>
  <c r="I998" i="1"/>
  <c r="H998" i="1"/>
  <c r="BJ996" i="1"/>
  <c r="BF996" i="1"/>
  <c r="BD996" i="1"/>
  <c r="AW996" i="1"/>
  <c r="AP996" i="1"/>
  <c r="BI996" i="1" s="1"/>
  <c r="AE996" i="1" s="1"/>
  <c r="AO996" i="1"/>
  <c r="BH996" i="1" s="1"/>
  <c r="AD996" i="1" s="1"/>
  <c r="AK996" i="1"/>
  <c r="AJ996" i="1"/>
  <c r="AH996" i="1"/>
  <c r="AG996" i="1"/>
  <c r="AF996" i="1"/>
  <c r="AC996" i="1"/>
  <c r="AB996" i="1"/>
  <c r="Z996" i="1"/>
  <c r="J996" i="1"/>
  <c r="AL996" i="1" s="1"/>
  <c r="I996" i="1"/>
  <c r="H996" i="1"/>
  <c r="BJ994" i="1"/>
  <c r="BH994" i="1"/>
  <c r="BF994" i="1"/>
  <c r="BD994" i="1"/>
  <c r="AX994" i="1"/>
  <c r="AP994" i="1"/>
  <c r="BI994" i="1" s="1"/>
  <c r="AE994" i="1" s="1"/>
  <c r="AO994" i="1"/>
  <c r="AK994" i="1"/>
  <c r="AJ994" i="1"/>
  <c r="AH994" i="1"/>
  <c r="AG994" i="1"/>
  <c r="AF994" i="1"/>
  <c r="AD994" i="1"/>
  <c r="AC994" i="1"/>
  <c r="AB994" i="1"/>
  <c r="Z994" i="1"/>
  <c r="J994" i="1"/>
  <c r="AL994" i="1" s="1"/>
  <c r="I994" i="1"/>
  <c r="BJ992" i="1"/>
  <c r="BH992" i="1"/>
  <c r="AD992" i="1" s="1"/>
  <c r="BF992" i="1"/>
  <c r="BD992" i="1"/>
  <c r="AP992" i="1"/>
  <c r="AO992" i="1"/>
  <c r="AW992" i="1" s="1"/>
  <c r="AK992" i="1"/>
  <c r="AJ992" i="1"/>
  <c r="AH992" i="1"/>
  <c r="AG992" i="1"/>
  <c r="AF992" i="1"/>
  <c r="AC992" i="1"/>
  <c r="AB992" i="1"/>
  <c r="Z992" i="1"/>
  <c r="J992" i="1"/>
  <c r="AL992" i="1" s="1"/>
  <c r="BJ990" i="1"/>
  <c r="BF990" i="1"/>
  <c r="BD990" i="1"/>
  <c r="AP990" i="1"/>
  <c r="AO990" i="1"/>
  <c r="BH990" i="1" s="1"/>
  <c r="AD990" i="1" s="1"/>
  <c r="AK990" i="1"/>
  <c r="AJ990" i="1"/>
  <c r="AH990" i="1"/>
  <c r="AG990" i="1"/>
  <c r="AF990" i="1"/>
  <c r="AC990" i="1"/>
  <c r="AB990" i="1"/>
  <c r="Z990" i="1"/>
  <c r="J990" i="1"/>
  <c r="AL990" i="1" s="1"/>
  <c r="BJ988" i="1"/>
  <c r="BF988" i="1"/>
  <c r="BD988" i="1"/>
  <c r="AP988" i="1"/>
  <c r="AO988" i="1"/>
  <c r="BH988" i="1" s="1"/>
  <c r="AD988" i="1" s="1"/>
  <c r="AK988" i="1"/>
  <c r="AJ988" i="1"/>
  <c r="AH988" i="1"/>
  <c r="AG988" i="1"/>
  <c r="AF988" i="1"/>
  <c r="AC988" i="1"/>
  <c r="AB988" i="1"/>
  <c r="Z988" i="1"/>
  <c r="J988" i="1"/>
  <c r="AL988" i="1" s="1"/>
  <c r="H988" i="1"/>
  <c r="BJ986" i="1"/>
  <c r="BF986" i="1"/>
  <c r="BD986" i="1"/>
  <c r="AP986" i="1"/>
  <c r="BI986" i="1" s="1"/>
  <c r="AE986" i="1" s="1"/>
  <c r="AO986" i="1"/>
  <c r="BH986" i="1" s="1"/>
  <c r="AD986" i="1" s="1"/>
  <c r="AK986" i="1"/>
  <c r="AJ986" i="1"/>
  <c r="AH986" i="1"/>
  <c r="AG986" i="1"/>
  <c r="AF986" i="1"/>
  <c r="AC986" i="1"/>
  <c r="AB986" i="1"/>
  <c r="Z986" i="1"/>
  <c r="J986" i="1"/>
  <c r="AL986" i="1" s="1"/>
  <c r="BJ984" i="1"/>
  <c r="BF984" i="1"/>
  <c r="BD984" i="1"/>
  <c r="AP984" i="1"/>
  <c r="BI984" i="1" s="1"/>
  <c r="AE984" i="1" s="1"/>
  <c r="AO984" i="1"/>
  <c r="AK984" i="1"/>
  <c r="AJ984" i="1"/>
  <c r="AH984" i="1"/>
  <c r="AG984" i="1"/>
  <c r="AF984" i="1"/>
  <c r="AC984" i="1"/>
  <c r="AB984" i="1"/>
  <c r="Z984" i="1"/>
  <c r="J984" i="1"/>
  <c r="BJ981" i="1"/>
  <c r="Z981" i="1" s="1"/>
  <c r="BF981" i="1"/>
  <c r="BD981" i="1"/>
  <c r="AP981" i="1"/>
  <c r="BI981" i="1" s="1"/>
  <c r="AO981" i="1"/>
  <c r="BH981" i="1" s="1"/>
  <c r="AK981" i="1"/>
  <c r="AJ981" i="1"/>
  <c r="AH981" i="1"/>
  <c r="AG981" i="1"/>
  <c r="AF981" i="1"/>
  <c r="AE981" i="1"/>
  <c r="AD981" i="1"/>
  <c r="AC981" i="1"/>
  <c r="AB981" i="1"/>
  <c r="J981" i="1"/>
  <c r="AL981" i="1" s="1"/>
  <c r="BJ979" i="1"/>
  <c r="BF979" i="1"/>
  <c r="BD979" i="1"/>
  <c r="AX979" i="1"/>
  <c r="AP979" i="1"/>
  <c r="BI979" i="1" s="1"/>
  <c r="AE979" i="1" s="1"/>
  <c r="AO979" i="1"/>
  <c r="BH979" i="1" s="1"/>
  <c r="AD979" i="1" s="1"/>
  <c r="AK979" i="1"/>
  <c r="AJ979" i="1"/>
  <c r="AH979" i="1"/>
  <c r="AG979" i="1"/>
  <c r="AF979" i="1"/>
  <c r="AC979" i="1"/>
  <c r="AB979" i="1"/>
  <c r="Z979" i="1"/>
  <c r="J979" i="1"/>
  <c r="AL979" i="1" s="1"/>
  <c r="BJ977" i="1"/>
  <c r="BF977" i="1"/>
  <c r="BD977" i="1"/>
  <c r="AW977" i="1"/>
  <c r="AP977" i="1"/>
  <c r="BI977" i="1" s="1"/>
  <c r="AE977" i="1" s="1"/>
  <c r="AO977" i="1"/>
  <c r="BH977" i="1" s="1"/>
  <c r="AD977" i="1" s="1"/>
  <c r="AL977" i="1"/>
  <c r="AK977" i="1"/>
  <c r="AJ977" i="1"/>
  <c r="AH977" i="1"/>
  <c r="AG977" i="1"/>
  <c r="AF977" i="1"/>
  <c r="AC977" i="1"/>
  <c r="AB977" i="1"/>
  <c r="Z977" i="1"/>
  <c r="J977" i="1"/>
  <c r="I977" i="1"/>
  <c r="H977" i="1"/>
  <c r="BJ975" i="1"/>
  <c r="BF975" i="1"/>
  <c r="BD975" i="1"/>
  <c r="AP975" i="1"/>
  <c r="AO975" i="1"/>
  <c r="H975" i="1" s="1"/>
  <c r="AK975" i="1"/>
  <c r="AJ975" i="1"/>
  <c r="AH975" i="1"/>
  <c r="AG975" i="1"/>
  <c r="AF975" i="1"/>
  <c r="AC975" i="1"/>
  <c r="AB975" i="1"/>
  <c r="Z975" i="1"/>
  <c r="J975" i="1"/>
  <c r="AL975" i="1" s="1"/>
  <c r="BJ973" i="1"/>
  <c r="BF973" i="1"/>
  <c r="BD973" i="1"/>
  <c r="AX973" i="1"/>
  <c r="AP973" i="1"/>
  <c r="I973" i="1" s="1"/>
  <c r="AO973" i="1"/>
  <c r="AW973" i="1" s="1"/>
  <c r="AK973" i="1"/>
  <c r="AJ973" i="1"/>
  <c r="AH973" i="1"/>
  <c r="AG973" i="1"/>
  <c r="AF973" i="1"/>
  <c r="AC973" i="1"/>
  <c r="AB973" i="1"/>
  <c r="Z973" i="1"/>
  <c r="J973" i="1"/>
  <c r="AL973" i="1" s="1"/>
  <c r="BJ971" i="1"/>
  <c r="BF971" i="1"/>
  <c r="BD971" i="1"/>
  <c r="AP971" i="1"/>
  <c r="AX971" i="1" s="1"/>
  <c r="AO971" i="1"/>
  <c r="AK971" i="1"/>
  <c r="AJ971" i="1"/>
  <c r="AH971" i="1"/>
  <c r="AG971" i="1"/>
  <c r="AF971" i="1"/>
  <c r="AC971" i="1"/>
  <c r="AB971" i="1"/>
  <c r="Z971" i="1"/>
  <c r="J971" i="1"/>
  <c r="AL971" i="1" s="1"/>
  <c r="BJ969" i="1"/>
  <c r="BF969" i="1"/>
  <c r="BD969" i="1"/>
  <c r="AP969" i="1"/>
  <c r="BI969" i="1" s="1"/>
  <c r="AE969" i="1" s="1"/>
  <c r="AO969" i="1"/>
  <c r="BH969" i="1" s="1"/>
  <c r="AD969" i="1" s="1"/>
  <c r="AK969" i="1"/>
  <c r="AJ969" i="1"/>
  <c r="AH969" i="1"/>
  <c r="AG969" i="1"/>
  <c r="AF969" i="1"/>
  <c r="AC969" i="1"/>
  <c r="AB969" i="1"/>
  <c r="Z969" i="1"/>
  <c r="J969" i="1"/>
  <c r="AL969" i="1" s="1"/>
  <c r="H969" i="1"/>
  <c r="BJ967" i="1"/>
  <c r="BF967" i="1"/>
  <c r="BD967" i="1"/>
  <c r="AX967" i="1"/>
  <c r="AP967" i="1"/>
  <c r="BI967" i="1" s="1"/>
  <c r="AE967" i="1" s="1"/>
  <c r="AO967" i="1"/>
  <c r="BH967" i="1" s="1"/>
  <c r="AD967" i="1" s="1"/>
  <c r="AL967" i="1"/>
  <c r="AK967" i="1"/>
  <c r="AJ967" i="1"/>
  <c r="AH967" i="1"/>
  <c r="AG967" i="1"/>
  <c r="AF967" i="1"/>
  <c r="AC967" i="1"/>
  <c r="AB967" i="1"/>
  <c r="Z967" i="1"/>
  <c r="J967" i="1"/>
  <c r="I967" i="1"/>
  <c r="H967" i="1"/>
  <c r="BJ965" i="1"/>
  <c r="BF965" i="1"/>
  <c r="BD965" i="1"/>
  <c r="AP965" i="1"/>
  <c r="BI965" i="1" s="1"/>
  <c r="AE965" i="1" s="1"/>
  <c r="AO965" i="1"/>
  <c r="AK965" i="1"/>
  <c r="AJ965" i="1"/>
  <c r="AH965" i="1"/>
  <c r="AG965" i="1"/>
  <c r="AF965" i="1"/>
  <c r="AC965" i="1"/>
  <c r="AB965" i="1"/>
  <c r="Z965" i="1"/>
  <c r="J965" i="1"/>
  <c r="AL965" i="1" s="1"/>
  <c r="BJ963" i="1"/>
  <c r="BF963" i="1"/>
  <c r="BD963" i="1"/>
  <c r="AW963" i="1"/>
  <c r="AP963" i="1"/>
  <c r="BI963" i="1" s="1"/>
  <c r="AO963" i="1"/>
  <c r="BH963" i="1" s="1"/>
  <c r="AD963" i="1" s="1"/>
  <c r="AK963" i="1"/>
  <c r="AJ963" i="1"/>
  <c r="AH963" i="1"/>
  <c r="AG963" i="1"/>
  <c r="AF963" i="1"/>
  <c r="AE963" i="1"/>
  <c r="AC963" i="1"/>
  <c r="AB963" i="1"/>
  <c r="Z963" i="1"/>
  <c r="J963" i="1"/>
  <c r="H963" i="1"/>
  <c r="BJ960" i="1"/>
  <c r="Z960" i="1" s="1"/>
  <c r="BF960" i="1"/>
  <c r="BD960" i="1"/>
  <c r="AP960" i="1"/>
  <c r="BI960" i="1" s="1"/>
  <c r="AO960" i="1"/>
  <c r="H960" i="1" s="1"/>
  <c r="AK960" i="1"/>
  <c r="AJ960" i="1"/>
  <c r="AH960" i="1"/>
  <c r="AG960" i="1"/>
  <c r="AF960" i="1"/>
  <c r="AE960" i="1"/>
  <c r="AD960" i="1"/>
  <c r="AC960" i="1"/>
  <c r="AB960" i="1"/>
  <c r="J960" i="1"/>
  <c r="AL960" i="1" s="1"/>
  <c r="I960" i="1"/>
  <c r="BJ958" i="1"/>
  <c r="BI958" i="1"/>
  <c r="BF958" i="1"/>
  <c r="BD958" i="1"/>
  <c r="AP958" i="1"/>
  <c r="I958" i="1" s="1"/>
  <c r="AO958" i="1"/>
  <c r="BH958" i="1" s="1"/>
  <c r="AD958" i="1" s="1"/>
  <c r="AK958" i="1"/>
  <c r="AJ958" i="1"/>
  <c r="AH958" i="1"/>
  <c r="AG958" i="1"/>
  <c r="AF958" i="1"/>
  <c r="AE958" i="1"/>
  <c r="AC958" i="1"/>
  <c r="AB958" i="1"/>
  <c r="Z958" i="1"/>
  <c r="J958" i="1"/>
  <c r="AL958" i="1" s="1"/>
  <c r="H958" i="1"/>
  <c r="BJ956" i="1"/>
  <c r="BF956" i="1"/>
  <c r="BD956" i="1"/>
  <c r="AX956" i="1"/>
  <c r="AW956" i="1"/>
  <c r="AP956" i="1"/>
  <c r="BI956" i="1" s="1"/>
  <c r="AE956" i="1" s="1"/>
  <c r="AO956" i="1"/>
  <c r="BH956" i="1" s="1"/>
  <c r="AD956" i="1" s="1"/>
  <c r="AK956" i="1"/>
  <c r="AJ956" i="1"/>
  <c r="AH956" i="1"/>
  <c r="AG956" i="1"/>
  <c r="AF956" i="1"/>
  <c r="AC956" i="1"/>
  <c r="AB956" i="1"/>
  <c r="Z956" i="1"/>
  <c r="J956" i="1"/>
  <c r="AL956" i="1" s="1"/>
  <c r="I956" i="1"/>
  <c r="H956" i="1"/>
  <c r="BJ954" i="1"/>
  <c r="BF954" i="1"/>
  <c r="BD954" i="1"/>
  <c r="AX954" i="1"/>
  <c r="AW954" i="1"/>
  <c r="AP954" i="1"/>
  <c r="BI954" i="1" s="1"/>
  <c r="AE954" i="1" s="1"/>
  <c r="AO954" i="1"/>
  <c r="H954" i="1" s="1"/>
  <c r="AK954" i="1"/>
  <c r="AJ954" i="1"/>
  <c r="AH954" i="1"/>
  <c r="AG954" i="1"/>
  <c r="AF954" i="1"/>
  <c r="AC954" i="1"/>
  <c r="AB954" i="1"/>
  <c r="Z954" i="1"/>
  <c r="J954" i="1"/>
  <c r="AL954" i="1" s="1"/>
  <c r="I954" i="1"/>
  <c r="BJ952" i="1"/>
  <c r="BF952" i="1"/>
  <c r="BD952" i="1"/>
  <c r="AX952" i="1"/>
  <c r="AP952" i="1"/>
  <c r="I952" i="1" s="1"/>
  <c r="AO952" i="1"/>
  <c r="AW952" i="1" s="1"/>
  <c r="AK952" i="1"/>
  <c r="AJ952" i="1"/>
  <c r="AH952" i="1"/>
  <c r="AG952" i="1"/>
  <c r="AF952" i="1"/>
  <c r="AC952" i="1"/>
  <c r="AB952" i="1"/>
  <c r="Z952" i="1"/>
  <c r="J952" i="1"/>
  <c r="AL952" i="1" s="1"/>
  <c r="BJ950" i="1"/>
  <c r="BF950" i="1"/>
  <c r="BD950" i="1"/>
  <c r="AP950" i="1"/>
  <c r="AX950" i="1" s="1"/>
  <c r="AO950" i="1"/>
  <c r="AK950" i="1"/>
  <c r="AJ950" i="1"/>
  <c r="AH950" i="1"/>
  <c r="AG950" i="1"/>
  <c r="AF950" i="1"/>
  <c r="AC950" i="1"/>
  <c r="AB950" i="1"/>
  <c r="Z950" i="1"/>
  <c r="J950" i="1"/>
  <c r="AL950" i="1" s="1"/>
  <c r="BJ948" i="1"/>
  <c r="BI948" i="1"/>
  <c r="AE948" i="1" s="1"/>
  <c r="BF948" i="1"/>
  <c r="BD948" i="1"/>
  <c r="AW948" i="1"/>
  <c r="AP948" i="1"/>
  <c r="AO948" i="1"/>
  <c r="BH948" i="1" s="1"/>
  <c r="AD948" i="1" s="1"/>
  <c r="AL948" i="1"/>
  <c r="AK948" i="1"/>
  <c r="AJ948" i="1"/>
  <c r="AH948" i="1"/>
  <c r="AG948" i="1"/>
  <c r="AF948" i="1"/>
  <c r="AC948" i="1"/>
  <c r="AB948" i="1"/>
  <c r="Z948" i="1"/>
  <c r="J948" i="1"/>
  <c r="H948" i="1"/>
  <c r="BJ946" i="1"/>
  <c r="BF946" i="1"/>
  <c r="BD946" i="1"/>
  <c r="AX946" i="1"/>
  <c r="AP946" i="1"/>
  <c r="BI946" i="1" s="1"/>
  <c r="AE946" i="1" s="1"/>
  <c r="AO946" i="1"/>
  <c r="BH946" i="1" s="1"/>
  <c r="AD946" i="1" s="1"/>
  <c r="AK946" i="1"/>
  <c r="AJ946" i="1"/>
  <c r="AH946" i="1"/>
  <c r="AG946" i="1"/>
  <c r="AF946" i="1"/>
  <c r="AC946" i="1"/>
  <c r="AB946" i="1"/>
  <c r="Z946" i="1"/>
  <c r="J946" i="1"/>
  <c r="AL946" i="1" s="1"/>
  <c r="I946" i="1"/>
  <c r="H946" i="1"/>
  <c r="BJ944" i="1"/>
  <c r="BF944" i="1"/>
  <c r="BD944" i="1"/>
  <c r="AP944" i="1"/>
  <c r="BI944" i="1" s="1"/>
  <c r="AE944" i="1" s="1"/>
  <c r="AO944" i="1"/>
  <c r="AK944" i="1"/>
  <c r="AJ944" i="1"/>
  <c r="AH944" i="1"/>
  <c r="AG944" i="1"/>
  <c r="AF944" i="1"/>
  <c r="AC944" i="1"/>
  <c r="AB944" i="1"/>
  <c r="Z944" i="1"/>
  <c r="J944" i="1"/>
  <c r="AL944" i="1" s="1"/>
  <c r="I944" i="1"/>
  <c r="BJ942" i="1"/>
  <c r="BF942" i="1"/>
  <c r="BD942" i="1"/>
  <c r="AX942" i="1"/>
  <c r="AW942" i="1"/>
  <c r="AP942" i="1"/>
  <c r="I942" i="1" s="1"/>
  <c r="AO942" i="1"/>
  <c r="BH942" i="1" s="1"/>
  <c r="AD942" i="1" s="1"/>
  <c r="AK942" i="1"/>
  <c r="AJ942" i="1"/>
  <c r="AH942" i="1"/>
  <c r="AG942" i="1"/>
  <c r="AF942" i="1"/>
  <c r="AC942" i="1"/>
  <c r="AB942" i="1"/>
  <c r="Z942" i="1"/>
  <c r="J942" i="1"/>
  <c r="AL942" i="1" s="1"/>
  <c r="H942" i="1"/>
  <c r="BJ940" i="1"/>
  <c r="BF940" i="1"/>
  <c r="BD940" i="1"/>
  <c r="AW940" i="1"/>
  <c r="AP940" i="1"/>
  <c r="BI940" i="1" s="1"/>
  <c r="AE940" i="1" s="1"/>
  <c r="AO940" i="1"/>
  <c r="BH940" i="1" s="1"/>
  <c r="AD940" i="1" s="1"/>
  <c r="AK940" i="1"/>
  <c r="AJ940" i="1"/>
  <c r="AS937" i="1" s="1"/>
  <c r="AH940" i="1"/>
  <c r="AG940" i="1"/>
  <c r="AF940" i="1"/>
  <c r="AC940" i="1"/>
  <c r="AB940" i="1"/>
  <c r="Z940" i="1"/>
  <c r="J940" i="1"/>
  <c r="AL940" i="1" s="1"/>
  <c r="I940" i="1"/>
  <c r="H940" i="1"/>
  <c r="BJ938" i="1"/>
  <c r="BF938" i="1"/>
  <c r="BD938" i="1"/>
  <c r="AX938" i="1"/>
  <c r="AP938" i="1"/>
  <c r="BI938" i="1" s="1"/>
  <c r="AE938" i="1" s="1"/>
  <c r="AO938" i="1"/>
  <c r="H938" i="1" s="1"/>
  <c r="AK938" i="1"/>
  <c r="AJ938" i="1"/>
  <c r="AH938" i="1"/>
  <c r="AG938" i="1"/>
  <c r="AF938" i="1"/>
  <c r="AC938" i="1"/>
  <c r="AB938" i="1"/>
  <c r="Z938" i="1"/>
  <c r="J938" i="1"/>
  <c r="AL938" i="1" s="1"/>
  <c r="BJ935" i="1"/>
  <c r="BF935" i="1"/>
  <c r="BD935" i="1"/>
  <c r="AW935" i="1"/>
  <c r="AP935" i="1"/>
  <c r="BI935" i="1" s="1"/>
  <c r="AO935" i="1"/>
  <c r="BH935" i="1" s="1"/>
  <c r="AK935" i="1"/>
  <c r="AJ935" i="1"/>
  <c r="AS913" i="1" s="1"/>
  <c r="AH935" i="1"/>
  <c r="AG935" i="1"/>
  <c r="AF935" i="1"/>
  <c r="AE935" i="1"/>
  <c r="AD935" i="1"/>
  <c r="AC935" i="1"/>
  <c r="AB935" i="1"/>
  <c r="Z935" i="1"/>
  <c r="J935" i="1"/>
  <c r="AL935" i="1" s="1"/>
  <c r="H935" i="1"/>
  <c r="BJ933" i="1"/>
  <c r="BF933" i="1"/>
  <c r="BD933" i="1"/>
  <c r="AX933" i="1"/>
  <c r="AP933" i="1"/>
  <c r="BI933" i="1" s="1"/>
  <c r="AE933" i="1" s="1"/>
  <c r="AO933" i="1"/>
  <c r="H933" i="1" s="1"/>
  <c r="AK933" i="1"/>
  <c r="AJ933" i="1"/>
  <c r="AH933" i="1"/>
  <c r="AG933" i="1"/>
  <c r="AF933" i="1"/>
  <c r="AC933" i="1"/>
  <c r="AB933" i="1"/>
  <c r="Z933" i="1"/>
  <c r="J933" i="1"/>
  <c r="AL933" i="1" s="1"/>
  <c r="I933" i="1"/>
  <c r="BJ931" i="1"/>
  <c r="BF931" i="1"/>
  <c r="BD931" i="1"/>
  <c r="AX931" i="1"/>
  <c r="AP931" i="1"/>
  <c r="I931" i="1" s="1"/>
  <c r="AO931" i="1"/>
  <c r="AW931" i="1" s="1"/>
  <c r="AL931" i="1"/>
  <c r="AK931" i="1"/>
  <c r="AJ931" i="1"/>
  <c r="AH931" i="1"/>
  <c r="AG931" i="1"/>
  <c r="AF931" i="1"/>
  <c r="AC931" i="1"/>
  <c r="AB931" i="1"/>
  <c r="Z931" i="1"/>
  <c r="J931" i="1"/>
  <c r="BJ929" i="1"/>
  <c r="BF929" i="1"/>
  <c r="BD929" i="1"/>
  <c r="AP929" i="1"/>
  <c r="AX929" i="1" s="1"/>
  <c r="AO929" i="1"/>
  <c r="BH929" i="1" s="1"/>
  <c r="AD929" i="1" s="1"/>
  <c r="AK929" i="1"/>
  <c r="AJ929" i="1"/>
  <c r="AH929" i="1"/>
  <c r="AG929" i="1"/>
  <c r="AF929" i="1"/>
  <c r="AC929" i="1"/>
  <c r="AB929" i="1"/>
  <c r="Z929" i="1"/>
  <c r="J929" i="1"/>
  <c r="AL929" i="1" s="1"/>
  <c r="BJ927" i="1"/>
  <c r="BI927" i="1"/>
  <c r="AE927" i="1" s="1"/>
  <c r="BF927" i="1"/>
  <c r="BD927" i="1"/>
  <c r="AP927" i="1"/>
  <c r="AO927" i="1"/>
  <c r="BH927" i="1" s="1"/>
  <c r="AD927" i="1" s="1"/>
  <c r="AL927" i="1"/>
  <c r="AK927" i="1"/>
  <c r="AJ927" i="1"/>
  <c r="AH927" i="1"/>
  <c r="AG927" i="1"/>
  <c r="AF927" i="1"/>
  <c r="AC927" i="1"/>
  <c r="AB927" i="1"/>
  <c r="Z927" i="1"/>
  <c r="J927" i="1"/>
  <c r="BJ924" i="1"/>
  <c r="BF924" i="1"/>
  <c r="BD924" i="1"/>
  <c r="AP924" i="1"/>
  <c r="BI924" i="1" s="1"/>
  <c r="AE924" i="1" s="1"/>
  <c r="AO924" i="1"/>
  <c r="BH924" i="1" s="1"/>
  <c r="AD924" i="1" s="1"/>
  <c r="AL924" i="1"/>
  <c r="AK924" i="1"/>
  <c r="AJ924" i="1"/>
  <c r="AH924" i="1"/>
  <c r="AG924" i="1"/>
  <c r="AF924" i="1"/>
  <c r="AC924" i="1"/>
  <c r="AB924" i="1"/>
  <c r="Z924" i="1"/>
  <c r="J924" i="1"/>
  <c r="I924" i="1"/>
  <c r="H924" i="1"/>
  <c r="BJ922" i="1"/>
  <c r="BH922" i="1"/>
  <c r="BF922" i="1"/>
  <c r="BD922" i="1"/>
  <c r="AP922" i="1"/>
  <c r="BI922" i="1" s="1"/>
  <c r="AE922" i="1" s="1"/>
  <c r="AO922" i="1"/>
  <c r="H922" i="1" s="1"/>
  <c r="AK922" i="1"/>
  <c r="AJ922" i="1"/>
  <c r="AH922" i="1"/>
  <c r="AG922" i="1"/>
  <c r="AF922" i="1"/>
  <c r="AD922" i="1"/>
  <c r="AC922" i="1"/>
  <c r="AB922" i="1"/>
  <c r="Z922" i="1"/>
  <c r="J922" i="1"/>
  <c r="AL922" i="1" s="1"/>
  <c r="I922" i="1"/>
  <c r="BJ920" i="1"/>
  <c r="BF920" i="1"/>
  <c r="BD920" i="1"/>
  <c r="AP920" i="1"/>
  <c r="I920" i="1" s="1"/>
  <c r="AO920" i="1"/>
  <c r="AK920" i="1"/>
  <c r="AJ920" i="1"/>
  <c r="AH920" i="1"/>
  <c r="AG920" i="1"/>
  <c r="AF920" i="1"/>
  <c r="AC920" i="1"/>
  <c r="AB920" i="1"/>
  <c r="Z920" i="1"/>
  <c r="J920" i="1"/>
  <c r="AL920" i="1" s="1"/>
  <c r="BJ918" i="1"/>
  <c r="BF918" i="1"/>
  <c r="BD918" i="1"/>
  <c r="AW918" i="1"/>
  <c r="AP918" i="1"/>
  <c r="BI918" i="1" s="1"/>
  <c r="AE918" i="1" s="1"/>
  <c r="AO918" i="1"/>
  <c r="BH918" i="1" s="1"/>
  <c r="AD918" i="1" s="1"/>
  <c r="AK918" i="1"/>
  <c r="AJ918" i="1"/>
  <c r="AH918" i="1"/>
  <c r="AG918" i="1"/>
  <c r="AF918" i="1"/>
  <c r="AC918" i="1"/>
  <c r="AB918" i="1"/>
  <c r="Z918" i="1"/>
  <c r="J918" i="1"/>
  <c r="AL918" i="1" s="1"/>
  <c r="I918" i="1"/>
  <c r="H918" i="1"/>
  <c r="BJ916" i="1"/>
  <c r="BF916" i="1"/>
  <c r="BD916" i="1"/>
  <c r="AP916" i="1"/>
  <c r="BI916" i="1" s="1"/>
  <c r="AE916" i="1" s="1"/>
  <c r="AO916" i="1"/>
  <c r="AK916" i="1"/>
  <c r="AJ916" i="1"/>
  <c r="AH916" i="1"/>
  <c r="AG916" i="1"/>
  <c r="AF916" i="1"/>
  <c r="AC916" i="1"/>
  <c r="AB916" i="1"/>
  <c r="Z916" i="1"/>
  <c r="J916" i="1"/>
  <c r="AL916" i="1" s="1"/>
  <c r="BJ914" i="1"/>
  <c r="BF914" i="1"/>
  <c r="BD914" i="1"/>
  <c r="AP914" i="1"/>
  <c r="I914" i="1" s="1"/>
  <c r="AO914" i="1"/>
  <c r="AW914" i="1" s="1"/>
  <c r="AL914" i="1"/>
  <c r="AK914" i="1"/>
  <c r="AJ914" i="1"/>
  <c r="AH914" i="1"/>
  <c r="AG914" i="1"/>
  <c r="AF914" i="1"/>
  <c r="AC914" i="1"/>
  <c r="AB914" i="1"/>
  <c r="Z914" i="1"/>
  <c r="J914" i="1"/>
  <c r="H914" i="1"/>
  <c r="BJ911" i="1"/>
  <c r="BF911" i="1"/>
  <c r="BD911" i="1"/>
  <c r="AX911" i="1"/>
  <c r="AW911" i="1"/>
  <c r="AP911" i="1"/>
  <c r="BI911" i="1" s="1"/>
  <c r="AC911" i="1" s="1"/>
  <c r="AO911" i="1"/>
  <c r="H911" i="1" s="1"/>
  <c r="AK911" i="1"/>
  <c r="AT907" i="1" s="1"/>
  <c r="AJ911" i="1"/>
  <c r="AH911" i="1"/>
  <c r="AG911" i="1"/>
  <c r="AF911" i="1"/>
  <c r="AE911" i="1"/>
  <c r="AD911" i="1"/>
  <c r="Z911" i="1"/>
  <c r="J911" i="1"/>
  <c r="AL911" i="1" s="1"/>
  <c r="I911" i="1"/>
  <c r="BJ908" i="1"/>
  <c r="BF908" i="1"/>
  <c r="BD908" i="1"/>
  <c r="AX908" i="1"/>
  <c r="AP908" i="1"/>
  <c r="I908" i="1" s="1"/>
  <c r="I907" i="1" s="1"/>
  <c r="F69" i="2" s="1"/>
  <c r="AO908" i="1"/>
  <c r="AW908" i="1" s="1"/>
  <c r="AK908" i="1"/>
  <c r="AJ908" i="1"/>
  <c r="AH908" i="1"/>
  <c r="AG908" i="1"/>
  <c r="AF908" i="1"/>
  <c r="AE908" i="1"/>
  <c r="AD908" i="1"/>
  <c r="Z908" i="1"/>
  <c r="J908" i="1"/>
  <c r="H908" i="1"/>
  <c r="H907" i="1" s="1"/>
  <c r="E69" i="2" s="1"/>
  <c r="BJ905" i="1"/>
  <c r="BF905" i="1"/>
  <c r="BD905" i="1"/>
  <c r="AX905" i="1"/>
  <c r="AW905" i="1"/>
  <c r="AP905" i="1"/>
  <c r="BI905" i="1" s="1"/>
  <c r="AC905" i="1" s="1"/>
  <c r="AO905" i="1"/>
  <c r="H905" i="1" s="1"/>
  <c r="H904" i="1" s="1"/>
  <c r="E68" i="2" s="1"/>
  <c r="AK905" i="1"/>
  <c r="AT904" i="1" s="1"/>
  <c r="AJ905" i="1"/>
  <c r="AS904" i="1" s="1"/>
  <c r="AH905" i="1"/>
  <c r="AG905" i="1"/>
  <c r="AF905" i="1"/>
  <c r="AE905" i="1"/>
  <c r="AD905" i="1"/>
  <c r="Z905" i="1"/>
  <c r="J905" i="1"/>
  <c r="AL905" i="1" s="1"/>
  <c r="AU904" i="1" s="1"/>
  <c r="I905" i="1"/>
  <c r="I904" i="1" s="1"/>
  <c r="F68" i="2" s="1"/>
  <c r="BJ902" i="1"/>
  <c r="BF902" i="1"/>
  <c r="BD902" i="1"/>
  <c r="AP902" i="1"/>
  <c r="BI902" i="1" s="1"/>
  <c r="AC902" i="1" s="1"/>
  <c r="AO902" i="1"/>
  <c r="BH902" i="1" s="1"/>
  <c r="AB902" i="1" s="1"/>
  <c r="AL902" i="1"/>
  <c r="AK902" i="1"/>
  <c r="AJ902" i="1"/>
  <c r="AH902" i="1"/>
  <c r="AG902" i="1"/>
  <c r="AF902" i="1"/>
  <c r="AE902" i="1"/>
  <c r="AD902" i="1"/>
  <c r="Z902" i="1"/>
  <c r="J902" i="1"/>
  <c r="I902" i="1"/>
  <c r="H902" i="1"/>
  <c r="BJ899" i="1"/>
  <c r="BF899" i="1"/>
  <c r="BD899" i="1"/>
  <c r="AX899" i="1"/>
  <c r="AP899" i="1"/>
  <c r="BI899" i="1" s="1"/>
  <c r="AC899" i="1" s="1"/>
  <c r="AO899" i="1"/>
  <c r="H899" i="1" s="1"/>
  <c r="AK899" i="1"/>
  <c r="AT896" i="1" s="1"/>
  <c r="AJ899" i="1"/>
  <c r="AH899" i="1"/>
  <c r="AG899" i="1"/>
  <c r="AF899" i="1"/>
  <c r="AE899" i="1"/>
  <c r="AD899" i="1"/>
  <c r="Z899" i="1"/>
  <c r="J899" i="1"/>
  <c r="AL899" i="1" s="1"/>
  <c r="I899" i="1"/>
  <c r="BJ897" i="1"/>
  <c r="BF897" i="1"/>
  <c r="BD897" i="1"/>
  <c r="AX897" i="1"/>
  <c r="AP897" i="1"/>
  <c r="I897" i="1" s="1"/>
  <c r="AO897" i="1"/>
  <c r="AW897" i="1" s="1"/>
  <c r="AK897" i="1"/>
  <c r="AJ897" i="1"/>
  <c r="AH897" i="1"/>
  <c r="AG897" i="1"/>
  <c r="AF897" i="1"/>
  <c r="AE897" i="1"/>
  <c r="AD897" i="1"/>
  <c r="Z897" i="1"/>
  <c r="J897" i="1"/>
  <c r="AS896" i="1"/>
  <c r="BJ894" i="1"/>
  <c r="BH894" i="1"/>
  <c r="AB894" i="1" s="1"/>
  <c r="BF894" i="1"/>
  <c r="BD894" i="1"/>
  <c r="AX894" i="1"/>
  <c r="AW894" i="1"/>
  <c r="AP894" i="1"/>
  <c r="BI894" i="1" s="1"/>
  <c r="AC894" i="1" s="1"/>
  <c r="AO894" i="1"/>
  <c r="H894" i="1" s="1"/>
  <c r="AK894" i="1"/>
  <c r="AJ894" i="1"/>
  <c r="AH894" i="1"/>
  <c r="AG894" i="1"/>
  <c r="AF894" i="1"/>
  <c r="AE894" i="1"/>
  <c r="AD894" i="1"/>
  <c r="Z894" i="1"/>
  <c r="J894" i="1"/>
  <c r="AL894" i="1" s="1"/>
  <c r="I894" i="1"/>
  <c r="BJ892" i="1"/>
  <c r="BF892" i="1"/>
  <c r="BD892" i="1"/>
  <c r="AP892" i="1"/>
  <c r="AO892" i="1"/>
  <c r="AW892" i="1" s="1"/>
  <c r="AK892" i="1"/>
  <c r="AJ892" i="1"/>
  <c r="AH892" i="1"/>
  <c r="AG892" i="1"/>
  <c r="AF892" i="1"/>
  <c r="AE892" i="1"/>
  <c r="AD892" i="1"/>
  <c r="Z892" i="1"/>
  <c r="J892" i="1"/>
  <c r="AL892" i="1" s="1"/>
  <c r="H892" i="1"/>
  <c r="BJ890" i="1"/>
  <c r="BF890" i="1"/>
  <c r="BD890" i="1"/>
  <c r="AV890" i="1"/>
  <c r="AP890" i="1"/>
  <c r="AX890" i="1" s="1"/>
  <c r="AO890" i="1"/>
  <c r="AW890" i="1" s="1"/>
  <c r="AK890" i="1"/>
  <c r="AJ890" i="1"/>
  <c r="AH890" i="1"/>
  <c r="AG890" i="1"/>
  <c r="AF890" i="1"/>
  <c r="AE890" i="1"/>
  <c r="AD890" i="1"/>
  <c r="Z890" i="1"/>
  <c r="J890" i="1"/>
  <c r="AL890" i="1" s="1"/>
  <c r="I890" i="1"/>
  <c r="BJ887" i="1"/>
  <c r="BI887" i="1"/>
  <c r="BF887" i="1"/>
  <c r="BD887" i="1"/>
  <c r="AP887" i="1"/>
  <c r="AX887" i="1" s="1"/>
  <c r="AO887" i="1"/>
  <c r="AL887" i="1"/>
  <c r="AK887" i="1"/>
  <c r="AT883" i="1" s="1"/>
  <c r="AJ887" i="1"/>
  <c r="AH887" i="1"/>
  <c r="AG887" i="1"/>
  <c r="AF887" i="1"/>
  <c r="AE887" i="1"/>
  <c r="AD887" i="1"/>
  <c r="AC887" i="1"/>
  <c r="Z887" i="1"/>
  <c r="J887" i="1"/>
  <c r="BJ884" i="1"/>
  <c r="BF884" i="1"/>
  <c r="BD884" i="1"/>
  <c r="AP884" i="1"/>
  <c r="BI884" i="1" s="1"/>
  <c r="AC884" i="1" s="1"/>
  <c r="AO884" i="1"/>
  <c r="BH884" i="1" s="1"/>
  <c r="AB884" i="1" s="1"/>
  <c r="AK884" i="1"/>
  <c r="AJ884" i="1"/>
  <c r="AH884" i="1"/>
  <c r="AG884" i="1"/>
  <c r="AF884" i="1"/>
  <c r="AE884" i="1"/>
  <c r="AD884" i="1"/>
  <c r="Z884" i="1"/>
  <c r="J884" i="1"/>
  <c r="AL884" i="1" s="1"/>
  <c r="BJ881" i="1"/>
  <c r="Z881" i="1" s="1"/>
  <c r="BF881" i="1"/>
  <c r="BD881" i="1"/>
  <c r="AP881" i="1"/>
  <c r="AX881" i="1" s="1"/>
  <c r="AO881" i="1"/>
  <c r="AK881" i="1"/>
  <c r="AJ881" i="1"/>
  <c r="AH881" i="1"/>
  <c r="AG881" i="1"/>
  <c r="AF881" i="1"/>
  <c r="AE881" i="1"/>
  <c r="AD881" i="1"/>
  <c r="AC881" i="1"/>
  <c r="AB881" i="1"/>
  <c r="J881" i="1"/>
  <c r="AL881" i="1" s="1"/>
  <c r="I881" i="1"/>
  <c r="BJ879" i="1"/>
  <c r="BF879" i="1"/>
  <c r="BD879" i="1"/>
  <c r="AW879" i="1"/>
  <c r="AP879" i="1"/>
  <c r="BI879" i="1" s="1"/>
  <c r="AC879" i="1" s="1"/>
  <c r="AO879" i="1"/>
  <c r="BH879" i="1" s="1"/>
  <c r="AB879" i="1" s="1"/>
  <c r="AK879" i="1"/>
  <c r="AJ879" i="1"/>
  <c r="AS878" i="1" s="1"/>
  <c r="AH879" i="1"/>
  <c r="AG879" i="1"/>
  <c r="AF879" i="1"/>
  <c r="AE879" i="1"/>
  <c r="AD879" i="1"/>
  <c r="Z879" i="1"/>
  <c r="J879" i="1"/>
  <c r="AL879" i="1" s="1"/>
  <c r="AU878" i="1" s="1"/>
  <c r="H879" i="1"/>
  <c r="BJ875" i="1"/>
  <c r="Z875" i="1" s="1"/>
  <c r="BF875" i="1"/>
  <c r="BD875" i="1"/>
  <c r="AP875" i="1"/>
  <c r="BI875" i="1" s="1"/>
  <c r="AO875" i="1"/>
  <c r="BH875" i="1" s="1"/>
  <c r="AK875" i="1"/>
  <c r="AJ875" i="1"/>
  <c r="AH875" i="1"/>
  <c r="AG875" i="1"/>
  <c r="AF875" i="1"/>
  <c r="AE875" i="1"/>
  <c r="AD875" i="1"/>
  <c r="AC875" i="1"/>
  <c r="AB875" i="1"/>
  <c r="J875" i="1"/>
  <c r="AL875" i="1" s="1"/>
  <c r="BJ873" i="1"/>
  <c r="Z873" i="1" s="1"/>
  <c r="BF873" i="1"/>
  <c r="BD873" i="1"/>
  <c r="AX873" i="1"/>
  <c r="AP873" i="1"/>
  <c r="BI873" i="1" s="1"/>
  <c r="AO873" i="1"/>
  <c r="BH873" i="1" s="1"/>
  <c r="AK873" i="1"/>
  <c r="AT872" i="1" s="1"/>
  <c r="AJ873" i="1"/>
  <c r="AS872" i="1" s="1"/>
  <c r="AH873" i="1"/>
  <c r="AG873" i="1"/>
  <c r="AF873" i="1"/>
  <c r="AE873" i="1"/>
  <c r="AD873" i="1"/>
  <c r="AC873" i="1"/>
  <c r="AB873" i="1"/>
  <c r="J873" i="1"/>
  <c r="I873" i="1"/>
  <c r="H873" i="1"/>
  <c r="BJ870" i="1"/>
  <c r="BF870" i="1"/>
  <c r="BD870" i="1"/>
  <c r="AP870" i="1"/>
  <c r="AO870" i="1"/>
  <c r="AK870" i="1"/>
  <c r="AJ870" i="1"/>
  <c r="AH870" i="1"/>
  <c r="AG870" i="1"/>
  <c r="AF870" i="1"/>
  <c r="AE870" i="1"/>
  <c r="AD870" i="1"/>
  <c r="Z870" i="1"/>
  <c r="J870" i="1"/>
  <c r="AL870" i="1" s="1"/>
  <c r="BJ868" i="1"/>
  <c r="BF868" i="1"/>
  <c r="BD868" i="1"/>
  <c r="AX868" i="1"/>
  <c r="AP868" i="1"/>
  <c r="BI868" i="1" s="1"/>
  <c r="AC868" i="1" s="1"/>
  <c r="AO868" i="1"/>
  <c r="BH868" i="1" s="1"/>
  <c r="AB868" i="1" s="1"/>
  <c r="AK868" i="1"/>
  <c r="AJ868" i="1"/>
  <c r="AH868" i="1"/>
  <c r="AG868" i="1"/>
  <c r="AF868" i="1"/>
  <c r="AE868" i="1"/>
  <c r="AD868" i="1"/>
  <c r="Z868" i="1"/>
  <c r="J868" i="1"/>
  <c r="I868" i="1"/>
  <c r="BJ866" i="1"/>
  <c r="BF866" i="1"/>
  <c r="BD866" i="1"/>
  <c r="AP866" i="1"/>
  <c r="AO866" i="1"/>
  <c r="AW866" i="1" s="1"/>
  <c r="AL866" i="1"/>
  <c r="AK866" i="1"/>
  <c r="AJ866" i="1"/>
  <c r="AS865" i="1" s="1"/>
  <c r="AH866" i="1"/>
  <c r="AG866" i="1"/>
  <c r="AF866" i="1"/>
  <c r="AE866" i="1"/>
  <c r="AD866" i="1"/>
  <c r="Z866" i="1"/>
  <c r="J866" i="1"/>
  <c r="I866" i="1"/>
  <c r="AT865" i="1"/>
  <c r="BJ862" i="1"/>
  <c r="BF862" i="1"/>
  <c r="BD862" i="1"/>
  <c r="AW862" i="1"/>
  <c r="AP862" i="1"/>
  <c r="BI862" i="1" s="1"/>
  <c r="AC862" i="1" s="1"/>
  <c r="AO862" i="1"/>
  <c r="BH862" i="1" s="1"/>
  <c r="AB862" i="1" s="1"/>
  <c r="AK862" i="1"/>
  <c r="AJ862" i="1"/>
  <c r="AH862" i="1"/>
  <c r="AG862" i="1"/>
  <c r="AF862" i="1"/>
  <c r="AE862" i="1"/>
  <c r="AD862" i="1"/>
  <c r="Z862" i="1"/>
  <c r="J862" i="1"/>
  <c r="AL862" i="1" s="1"/>
  <c r="H862" i="1"/>
  <c r="BJ861" i="1"/>
  <c r="BF861" i="1"/>
  <c r="BD861" i="1"/>
  <c r="BC861" i="1"/>
  <c r="AX861" i="1"/>
  <c r="AP861" i="1"/>
  <c r="BI861" i="1" s="1"/>
  <c r="AC861" i="1" s="1"/>
  <c r="AO861" i="1"/>
  <c r="AW861" i="1" s="1"/>
  <c r="AK861" i="1"/>
  <c r="AJ861" i="1"/>
  <c r="AH861" i="1"/>
  <c r="AG861" i="1"/>
  <c r="AF861" i="1"/>
  <c r="AE861" i="1"/>
  <c r="AD861" i="1"/>
  <c r="Z861" i="1"/>
  <c r="J861" i="1"/>
  <c r="AL861" i="1" s="1"/>
  <c r="I861" i="1"/>
  <c r="BJ858" i="1"/>
  <c r="BF858" i="1"/>
  <c r="BD858" i="1"/>
  <c r="AP858" i="1"/>
  <c r="AX858" i="1" s="1"/>
  <c r="AO858" i="1"/>
  <c r="AW858" i="1" s="1"/>
  <c r="AK858" i="1"/>
  <c r="AT857" i="1" s="1"/>
  <c r="AJ858" i="1"/>
  <c r="AH858" i="1"/>
  <c r="AG858" i="1"/>
  <c r="AF858" i="1"/>
  <c r="AE858" i="1"/>
  <c r="AD858" i="1"/>
  <c r="Z858" i="1"/>
  <c r="J858" i="1"/>
  <c r="AL858" i="1" s="1"/>
  <c r="BJ854" i="1"/>
  <c r="BF854" i="1"/>
  <c r="BD854" i="1"/>
  <c r="AX854" i="1"/>
  <c r="AP854" i="1"/>
  <c r="BI854" i="1" s="1"/>
  <c r="AC854" i="1" s="1"/>
  <c r="AO854" i="1"/>
  <c r="AW854" i="1" s="1"/>
  <c r="AL854" i="1"/>
  <c r="AK854" i="1"/>
  <c r="AJ854" i="1"/>
  <c r="AH854" i="1"/>
  <c r="AG854" i="1"/>
  <c r="AF854" i="1"/>
  <c r="AE854" i="1"/>
  <c r="AD854" i="1"/>
  <c r="Z854" i="1"/>
  <c r="J854" i="1"/>
  <c r="I854" i="1"/>
  <c r="BJ851" i="1"/>
  <c r="BF851" i="1"/>
  <c r="BD851" i="1"/>
  <c r="AP851" i="1"/>
  <c r="AX851" i="1" s="1"/>
  <c r="AO851" i="1"/>
  <c r="AW851" i="1" s="1"/>
  <c r="AK851" i="1"/>
  <c r="AJ851" i="1"/>
  <c r="AH851" i="1"/>
  <c r="AG851" i="1"/>
  <c r="AF851" i="1"/>
  <c r="AE851" i="1"/>
  <c r="AD851" i="1"/>
  <c r="Z851" i="1"/>
  <c r="J851" i="1"/>
  <c r="AL851" i="1" s="1"/>
  <c r="BJ848" i="1"/>
  <c r="BF848" i="1"/>
  <c r="BD848" i="1"/>
  <c r="AP848" i="1"/>
  <c r="AX848" i="1" s="1"/>
  <c r="AO848" i="1"/>
  <c r="AW848" i="1" s="1"/>
  <c r="AK848" i="1"/>
  <c r="AJ848" i="1"/>
  <c r="AH848" i="1"/>
  <c r="AG848" i="1"/>
  <c r="AF848" i="1"/>
  <c r="AE848" i="1"/>
  <c r="AD848" i="1"/>
  <c r="Z848" i="1"/>
  <c r="J848" i="1"/>
  <c r="AL848" i="1" s="1"/>
  <c r="H848" i="1"/>
  <c r="BJ845" i="1"/>
  <c r="BF845" i="1"/>
  <c r="BD845" i="1"/>
  <c r="AP845" i="1"/>
  <c r="AX845" i="1" s="1"/>
  <c r="AO845" i="1"/>
  <c r="BH845" i="1" s="1"/>
  <c r="AB845" i="1" s="1"/>
  <c r="AK845" i="1"/>
  <c r="AJ845" i="1"/>
  <c r="AH845" i="1"/>
  <c r="AG845" i="1"/>
  <c r="AF845" i="1"/>
  <c r="AE845" i="1"/>
  <c r="AD845" i="1"/>
  <c r="Z845" i="1"/>
  <c r="J845" i="1"/>
  <c r="AL845" i="1" s="1"/>
  <c r="I845" i="1"/>
  <c r="BJ842" i="1"/>
  <c r="BF842" i="1"/>
  <c r="BD842" i="1"/>
  <c r="AW842" i="1"/>
  <c r="AP842" i="1"/>
  <c r="BI842" i="1" s="1"/>
  <c r="AC842" i="1" s="1"/>
  <c r="AO842" i="1"/>
  <c r="BH842" i="1" s="1"/>
  <c r="AB842" i="1" s="1"/>
  <c r="AK842" i="1"/>
  <c r="AJ842" i="1"/>
  <c r="AH842" i="1"/>
  <c r="AG842" i="1"/>
  <c r="AF842" i="1"/>
  <c r="AE842" i="1"/>
  <c r="AD842" i="1"/>
  <c r="Z842" i="1"/>
  <c r="J842" i="1"/>
  <c r="AL842" i="1" s="1"/>
  <c r="H842" i="1"/>
  <c r="BJ838" i="1"/>
  <c r="BF838" i="1"/>
  <c r="BD838" i="1"/>
  <c r="AP838" i="1"/>
  <c r="AX838" i="1" s="1"/>
  <c r="AO838" i="1"/>
  <c r="BH838" i="1" s="1"/>
  <c r="AB838" i="1" s="1"/>
  <c r="AL838" i="1"/>
  <c r="AU837" i="1" s="1"/>
  <c r="AK838" i="1"/>
  <c r="AJ838" i="1"/>
  <c r="AH838" i="1"/>
  <c r="AG838" i="1"/>
  <c r="AF838" i="1"/>
  <c r="AE838" i="1"/>
  <c r="AD838" i="1"/>
  <c r="Z838" i="1"/>
  <c r="J838" i="1"/>
  <c r="J837" i="1" s="1"/>
  <c r="G59" i="2" s="1"/>
  <c r="I59" i="2" s="1"/>
  <c r="I838" i="1"/>
  <c r="I837" i="1" s="1"/>
  <c r="F59" i="2" s="1"/>
  <c r="AT837" i="1"/>
  <c r="AS837" i="1"/>
  <c r="BJ836" i="1"/>
  <c r="BF836" i="1"/>
  <c r="BD836" i="1"/>
  <c r="AP836" i="1"/>
  <c r="AX836" i="1" s="1"/>
  <c r="AO836" i="1"/>
  <c r="AW836" i="1" s="1"/>
  <c r="AK836" i="1"/>
  <c r="AJ836" i="1"/>
  <c r="AH836" i="1"/>
  <c r="AG836" i="1"/>
  <c r="AF836" i="1"/>
  <c r="AE836" i="1"/>
  <c r="AD836" i="1"/>
  <c r="Z836" i="1"/>
  <c r="J836" i="1"/>
  <c r="AL836" i="1" s="1"/>
  <c r="H836" i="1"/>
  <c r="BJ834" i="1"/>
  <c r="BF834" i="1"/>
  <c r="BD834" i="1"/>
  <c r="AP834" i="1"/>
  <c r="AX834" i="1" s="1"/>
  <c r="AO834" i="1"/>
  <c r="BH834" i="1" s="1"/>
  <c r="AB834" i="1" s="1"/>
  <c r="AL834" i="1"/>
  <c r="AK834" i="1"/>
  <c r="AJ834" i="1"/>
  <c r="AH834" i="1"/>
  <c r="AG834" i="1"/>
  <c r="AF834" i="1"/>
  <c r="AE834" i="1"/>
  <c r="AD834" i="1"/>
  <c r="Z834" i="1"/>
  <c r="J834" i="1"/>
  <c r="I834" i="1"/>
  <c r="BJ831" i="1"/>
  <c r="BF831" i="1"/>
  <c r="BD831" i="1"/>
  <c r="AP831" i="1"/>
  <c r="BI831" i="1" s="1"/>
  <c r="AC831" i="1" s="1"/>
  <c r="AO831" i="1"/>
  <c r="AK831" i="1"/>
  <c r="AT827" i="1" s="1"/>
  <c r="AJ831" i="1"/>
  <c r="AH831" i="1"/>
  <c r="AG831" i="1"/>
  <c r="AF831" i="1"/>
  <c r="AE831" i="1"/>
  <c r="AD831" i="1"/>
  <c r="Z831" i="1"/>
  <c r="J831" i="1"/>
  <c r="AL831" i="1" s="1"/>
  <c r="BJ828" i="1"/>
  <c r="BF828" i="1"/>
  <c r="BD828" i="1"/>
  <c r="AP828" i="1"/>
  <c r="BI828" i="1" s="1"/>
  <c r="AC828" i="1" s="1"/>
  <c r="AO828" i="1"/>
  <c r="BH828" i="1" s="1"/>
  <c r="AB828" i="1" s="1"/>
  <c r="AK828" i="1"/>
  <c r="AJ828" i="1"/>
  <c r="AS827" i="1" s="1"/>
  <c r="AH828" i="1"/>
  <c r="AG828" i="1"/>
  <c r="AF828" i="1"/>
  <c r="AE828" i="1"/>
  <c r="AD828" i="1"/>
  <c r="Z828" i="1"/>
  <c r="J828" i="1"/>
  <c r="AL828" i="1" s="1"/>
  <c r="H828" i="1"/>
  <c r="BJ825" i="1"/>
  <c r="Z825" i="1" s="1"/>
  <c r="BI825" i="1"/>
  <c r="BF825" i="1"/>
  <c r="BD825" i="1"/>
  <c r="AP825" i="1"/>
  <c r="AO825" i="1"/>
  <c r="AK825" i="1"/>
  <c r="AT822" i="1" s="1"/>
  <c r="AJ825" i="1"/>
  <c r="AH825" i="1"/>
  <c r="AG825" i="1"/>
  <c r="AF825" i="1"/>
  <c r="AE825" i="1"/>
  <c r="AD825" i="1"/>
  <c r="AC825" i="1"/>
  <c r="AB825" i="1"/>
  <c r="J825" i="1"/>
  <c r="AL825" i="1" s="1"/>
  <c r="BJ823" i="1"/>
  <c r="Z823" i="1" s="1"/>
  <c r="BF823" i="1"/>
  <c r="BD823" i="1"/>
  <c r="AP823" i="1"/>
  <c r="BI823" i="1" s="1"/>
  <c r="AO823" i="1"/>
  <c r="BH823" i="1" s="1"/>
  <c r="AK823" i="1"/>
  <c r="AJ823" i="1"/>
  <c r="AH823" i="1"/>
  <c r="AG823" i="1"/>
  <c r="AF823" i="1"/>
  <c r="AE823" i="1"/>
  <c r="AD823" i="1"/>
  <c r="AC823" i="1"/>
  <c r="AB823" i="1"/>
  <c r="J823" i="1"/>
  <c r="AL823" i="1" s="1"/>
  <c r="AU822" i="1" s="1"/>
  <c r="I823" i="1"/>
  <c r="H823" i="1"/>
  <c r="BJ820" i="1"/>
  <c r="Z820" i="1" s="1"/>
  <c r="BF820" i="1"/>
  <c r="BD820" i="1"/>
  <c r="AP820" i="1"/>
  <c r="AO820" i="1"/>
  <c r="AK820" i="1"/>
  <c r="AT819" i="1" s="1"/>
  <c r="AJ820" i="1"/>
  <c r="AH820" i="1"/>
  <c r="AG820" i="1"/>
  <c r="AF820" i="1"/>
  <c r="AE820" i="1"/>
  <c r="AD820" i="1"/>
  <c r="AC820" i="1"/>
  <c r="AB820" i="1"/>
  <c r="J820" i="1"/>
  <c r="I820" i="1"/>
  <c r="I819" i="1" s="1"/>
  <c r="F55" i="2" s="1"/>
  <c r="H820" i="1"/>
  <c r="H819" i="1" s="1"/>
  <c r="E55" i="2" s="1"/>
  <c r="AS819" i="1"/>
  <c r="BJ817" i="1"/>
  <c r="BF817" i="1"/>
  <c r="BD817" i="1"/>
  <c r="AW817" i="1"/>
  <c r="AP817" i="1"/>
  <c r="BI817" i="1" s="1"/>
  <c r="AC817" i="1" s="1"/>
  <c r="AO817" i="1"/>
  <c r="BH817" i="1" s="1"/>
  <c r="AB817" i="1" s="1"/>
  <c r="AK817" i="1"/>
  <c r="AJ817" i="1"/>
  <c r="AH817" i="1"/>
  <c r="AG817" i="1"/>
  <c r="AF817" i="1"/>
  <c r="AE817" i="1"/>
  <c r="AD817" i="1"/>
  <c r="Z817" i="1"/>
  <c r="J817" i="1"/>
  <c r="AL817" i="1" s="1"/>
  <c r="I817" i="1"/>
  <c r="H817" i="1"/>
  <c r="BJ812" i="1"/>
  <c r="BF812" i="1"/>
  <c r="BD812" i="1"/>
  <c r="AP812" i="1"/>
  <c r="BI812" i="1" s="1"/>
  <c r="AC812" i="1" s="1"/>
  <c r="AO812" i="1"/>
  <c r="BH812" i="1" s="1"/>
  <c r="AB812" i="1" s="1"/>
  <c r="AK812" i="1"/>
  <c r="AT811" i="1" s="1"/>
  <c r="AJ812" i="1"/>
  <c r="AS811" i="1" s="1"/>
  <c r="AH812" i="1"/>
  <c r="AG812" i="1"/>
  <c r="AF812" i="1"/>
  <c r="AE812" i="1"/>
  <c r="AD812" i="1"/>
  <c r="Z812" i="1"/>
  <c r="J812" i="1"/>
  <c r="H812" i="1"/>
  <c r="H811" i="1" s="1"/>
  <c r="E54" i="2" s="1"/>
  <c r="BJ809" i="1"/>
  <c r="BF809" i="1"/>
  <c r="BD809" i="1"/>
  <c r="AW809" i="1"/>
  <c r="AP809" i="1"/>
  <c r="BI809" i="1" s="1"/>
  <c r="AC809" i="1" s="1"/>
  <c r="AO809" i="1"/>
  <c r="BH809" i="1" s="1"/>
  <c r="AB809" i="1" s="1"/>
  <c r="AK809" i="1"/>
  <c r="AJ809" i="1"/>
  <c r="AH809" i="1"/>
  <c r="AG809" i="1"/>
  <c r="AF809" i="1"/>
  <c r="AE809" i="1"/>
  <c r="AD809" i="1"/>
  <c r="Z809" i="1"/>
  <c r="J809" i="1"/>
  <c r="AL809" i="1" s="1"/>
  <c r="I809" i="1"/>
  <c r="H809" i="1"/>
  <c r="BJ808" i="1"/>
  <c r="BF808" i="1"/>
  <c r="BD808" i="1"/>
  <c r="AX808" i="1"/>
  <c r="AP808" i="1"/>
  <c r="BI808" i="1" s="1"/>
  <c r="AC808" i="1" s="1"/>
  <c r="AO808" i="1"/>
  <c r="BH808" i="1" s="1"/>
  <c r="AB808" i="1" s="1"/>
  <c r="AK808" i="1"/>
  <c r="AJ808" i="1"/>
  <c r="AH808" i="1"/>
  <c r="AG808" i="1"/>
  <c r="AF808" i="1"/>
  <c r="AE808" i="1"/>
  <c r="AD808" i="1"/>
  <c r="Z808" i="1"/>
  <c r="J808" i="1"/>
  <c r="AL808" i="1" s="1"/>
  <c r="I808" i="1"/>
  <c r="H808" i="1"/>
  <c r="BJ807" i="1"/>
  <c r="BF807" i="1"/>
  <c r="BD807" i="1"/>
  <c r="AP807" i="1"/>
  <c r="BI807" i="1" s="1"/>
  <c r="AC807" i="1" s="1"/>
  <c r="AO807" i="1"/>
  <c r="AW807" i="1" s="1"/>
  <c r="AL807" i="1"/>
  <c r="AK807" i="1"/>
  <c r="AJ807" i="1"/>
  <c r="AH807" i="1"/>
  <c r="AG807" i="1"/>
  <c r="AF807" i="1"/>
  <c r="AE807" i="1"/>
  <c r="AD807" i="1"/>
  <c r="Z807" i="1"/>
  <c r="J807" i="1"/>
  <c r="I807" i="1"/>
  <c r="BJ802" i="1"/>
  <c r="BF802" i="1"/>
  <c r="BD802" i="1"/>
  <c r="AP802" i="1"/>
  <c r="AX802" i="1" s="1"/>
  <c r="AO802" i="1"/>
  <c r="AW802" i="1" s="1"/>
  <c r="AK802" i="1"/>
  <c r="AT801" i="1" s="1"/>
  <c r="AJ802" i="1"/>
  <c r="AH802" i="1"/>
  <c r="AG802" i="1"/>
  <c r="AF802" i="1"/>
  <c r="AE802" i="1"/>
  <c r="AD802" i="1"/>
  <c r="Z802" i="1"/>
  <c r="J802" i="1"/>
  <c r="AL802" i="1" s="1"/>
  <c r="BJ799" i="1"/>
  <c r="BF799" i="1"/>
  <c r="BD799" i="1"/>
  <c r="AP799" i="1"/>
  <c r="BI799" i="1" s="1"/>
  <c r="AC799" i="1" s="1"/>
  <c r="AO799" i="1"/>
  <c r="AW799" i="1" s="1"/>
  <c r="AK799" i="1"/>
  <c r="AJ799" i="1"/>
  <c r="AS798" i="1" s="1"/>
  <c r="AH799" i="1"/>
  <c r="AG799" i="1"/>
  <c r="AF799" i="1"/>
  <c r="AE799" i="1"/>
  <c r="AD799" i="1"/>
  <c r="Z799" i="1"/>
  <c r="J799" i="1"/>
  <c r="I799" i="1"/>
  <c r="I798" i="1" s="1"/>
  <c r="F52" i="2" s="1"/>
  <c r="AT798" i="1"/>
  <c r="BJ796" i="1"/>
  <c r="BF796" i="1"/>
  <c r="BD796" i="1"/>
  <c r="AX796" i="1"/>
  <c r="AP796" i="1"/>
  <c r="BI796" i="1" s="1"/>
  <c r="AE796" i="1" s="1"/>
  <c r="AO796" i="1"/>
  <c r="BH796" i="1" s="1"/>
  <c r="AD796" i="1" s="1"/>
  <c r="AK796" i="1"/>
  <c r="AJ796" i="1"/>
  <c r="AH796" i="1"/>
  <c r="AG796" i="1"/>
  <c r="AF796" i="1"/>
  <c r="AC796" i="1"/>
  <c r="AB796" i="1"/>
  <c r="Z796" i="1"/>
  <c r="J796" i="1"/>
  <c r="I796" i="1"/>
  <c r="H796" i="1"/>
  <c r="BJ795" i="1"/>
  <c r="BF795" i="1"/>
  <c r="BD795" i="1"/>
  <c r="AP795" i="1"/>
  <c r="BI795" i="1" s="1"/>
  <c r="AE795" i="1" s="1"/>
  <c r="AO795" i="1"/>
  <c r="AW795" i="1" s="1"/>
  <c r="AK795" i="1"/>
  <c r="AJ795" i="1"/>
  <c r="AH795" i="1"/>
  <c r="AG795" i="1"/>
  <c r="AF795" i="1"/>
  <c r="AC795" i="1"/>
  <c r="AB795" i="1"/>
  <c r="Z795" i="1"/>
  <c r="J795" i="1"/>
  <c r="AL795" i="1" s="1"/>
  <c r="I795" i="1"/>
  <c r="BJ792" i="1"/>
  <c r="BF792" i="1"/>
  <c r="BD792" i="1"/>
  <c r="AP792" i="1"/>
  <c r="AX792" i="1" s="1"/>
  <c r="AO792" i="1"/>
  <c r="AW792" i="1" s="1"/>
  <c r="AK792" i="1"/>
  <c r="AJ792" i="1"/>
  <c r="AH792" i="1"/>
  <c r="AG792" i="1"/>
  <c r="AF792" i="1"/>
  <c r="AC792" i="1"/>
  <c r="AB792" i="1"/>
  <c r="Z792" i="1"/>
  <c r="J792" i="1"/>
  <c r="AL792" i="1" s="1"/>
  <c r="BJ789" i="1"/>
  <c r="BF789" i="1"/>
  <c r="BD789" i="1"/>
  <c r="AP789" i="1"/>
  <c r="AX789" i="1" s="1"/>
  <c r="AO789" i="1"/>
  <c r="AW789" i="1" s="1"/>
  <c r="AL789" i="1"/>
  <c r="AK789" i="1"/>
  <c r="AJ789" i="1"/>
  <c r="AH789" i="1"/>
  <c r="AG789" i="1"/>
  <c r="AF789" i="1"/>
  <c r="AC789" i="1"/>
  <c r="AB789" i="1"/>
  <c r="Z789" i="1"/>
  <c r="J789" i="1"/>
  <c r="BJ787" i="1"/>
  <c r="BF787" i="1"/>
  <c r="BD787" i="1"/>
  <c r="AP787" i="1"/>
  <c r="AO787" i="1"/>
  <c r="BH787" i="1" s="1"/>
  <c r="AD787" i="1" s="1"/>
  <c r="AK787" i="1"/>
  <c r="AJ787" i="1"/>
  <c r="AH787" i="1"/>
  <c r="AG787" i="1"/>
  <c r="AF787" i="1"/>
  <c r="AC787" i="1"/>
  <c r="AB787" i="1"/>
  <c r="Z787" i="1"/>
  <c r="J787" i="1"/>
  <c r="AL787" i="1" s="1"/>
  <c r="BJ758" i="1"/>
  <c r="BF758" i="1"/>
  <c r="BD758" i="1"/>
  <c r="AP758" i="1"/>
  <c r="AX758" i="1" s="1"/>
  <c r="AO758" i="1"/>
  <c r="AW758" i="1" s="1"/>
  <c r="AK758" i="1"/>
  <c r="AJ758" i="1"/>
  <c r="AH758" i="1"/>
  <c r="AG758" i="1"/>
  <c r="AF758" i="1"/>
  <c r="AC758" i="1"/>
  <c r="AB758" i="1"/>
  <c r="Z758" i="1"/>
  <c r="J758" i="1"/>
  <c r="AL758" i="1" s="1"/>
  <c r="AU730" i="1" s="1"/>
  <c r="BJ735" i="1"/>
  <c r="BF735" i="1"/>
  <c r="BD735" i="1"/>
  <c r="AP735" i="1"/>
  <c r="AX735" i="1" s="1"/>
  <c r="AO735" i="1"/>
  <c r="BH735" i="1" s="1"/>
  <c r="AD735" i="1" s="1"/>
  <c r="AK735" i="1"/>
  <c r="AJ735" i="1"/>
  <c r="AH735" i="1"/>
  <c r="AG735" i="1"/>
  <c r="AF735" i="1"/>
  <c r="AC735" i="1"/>
  <c r="AB735" i="1"/>
  <c r="Z735" i="1"/>
  <c r="J735" i="1"/>
  <c r="AL735" i="1" s="1"/>
  <c r="BJ731" i="1"/>
  <c r="BF731" i="1"/>
  <c r="BD731" i="1"/>
  <c r="AP731" i="1"/>
  <c r="BI731" i="1" s="1"/>
  <c r="AE731" i="1" s="1"/>
  <c r="AO731" i="1"/>
  <c r="AK731" i="1"/>
  <c r="AJ731" i="1"/>
  <c r="AH731" i="1"/>
  <c r="AG731" i="1"/>
  <c r="AF731" i="1"/>
  <c r="AC731" i="1"/>
  <c r="AB731" i="1"/>
  <c r="Z731" i="1"/>
  <c r="J731" i="1"/>
  <c r="AL731" i="1" s="1"/>
  <c r="H731" i="1"/>
  <c r="AS730" i="1"/>
  <c r="BJ729" i="1"/>
  <c r="Z729" i="1" s="1"/>
  <c r="BF729" i="1"/>
  <c r="BD729" i="1"/>
  <c r="AP729" i="1"/>
  <c r="AX729" i="1" s="1"/>
  <c r="AO729" i="1"/>
  <c r="AK729" i="1"/>
  <c r="AJ729" i="1"/>
  <c r="AH729" i="1"/>
  <c r="AG729" i="1"/>
  <c r="AF729" i="1"/>
  <c r="AE729" i="1"/>
  <c r="AD729" i="1"/>
  <c r="AC729" i="1"/>
  <c r="AB729" i="1"/>
  <c r="J729" i="1"/>
  <c r="AL729" i="1" s="1"/>
  <c r="I729" i="1"/>
  <c r="BJ727" i="1"/>
  <c r="BI727" i="1"/>
  <c r="AE727" i="1" s="1"/>
  <c r="BF727" i="1"/>
  <c r="BD727" i="1"/>
  <c r="AP727" i="1"/>
  <c r="AO727" i="1"/>
  <c r="AK727" i="1"/>
  <c r="AJ727" i="1"/>
  <c r="AH727" i="1"/>
  <c r="AG727" i="1"/>
  <c r="AF727" i="1"/>
  <c r="AC727" i="1"/>
  <c r="AB727" i="1"/>
  <c r="Z727" i="1"/>
  <c r="J727" i="1"/>
  <c r="AL727" i="1" s="1"/>
  <c r="BJ725" i="1"/>
  <c r="BF725" i="1"/>
  <c r="BD725" i="1"/>
  <c r="AP725" i="1"/>
  <c r="BI725" i="1" s="1"/>
  <c r="AE725" i="1" s="1"/>
  <c r="AO725" i="1"/>
  <c r="BH725" i="1" s="1"/>
  <c r="AD725" i="1" s="1"/>
  <c r="AK725" i="1"/>
  <c r="AJ725" i="1"/>
  <c r="AH725" i="1"/>
  <c r="AG725" i="1"/>
  <c r="AF725" i="1"/>
  <c r="AC725" i="1"/>
  <c r="AB725" i="1"/>
  <c r="Z725" i="1"/>
  <c r="J725" i="1"/>
  <c r="AL725" i="1" s="1"/>
  <c r="H725" i="1"/>
  <c r="BJ720" i="1"/>
  <c r="BF720" i="1"/>
  <c r="BD720" i="1"/>
  <c r="AW720" i="1"/>
  <c r="AP720" i="1"/>
  <c r="BI720" i="1" s="1"/>
  <c r="AE720" i="1" s="1"/>
  <c r="AO720" i="1"/>
  <c r="BH720" i="1" s="1"/>
  <c r="AD720" i="1" s="1"/>
  <c r="AK720" i="1"/>
  <c r="AJ720" i="1"/>
  <c r="AH720" i="1"/>
  <c r="AG720" i="1"/>
  <c r="AF720" i="1"/>
  <c r="AC720" i="1"/>
  <c r="AB720" i="1"/>
  <c r="Z720" i="1"/>
  <c r="J720" i="1"/>
  <c r="AL720" i="1" s="1"/>
  <c r="I720" i="1"/>
  <c r="BJ719" i="1"/>
  <c r="BF719" i="1"/>
  <c r="BD719" i="1"/>
  <c r="AX719" i="1"/>
  <c r="AP719" i="1"/>
  <c r="BI719" i="1" s="1"/>
  <c r="AE719" i="1" s="1"/>
  <c r="AO719" i="1"/>
  <c r="BH719" i="1" s="1"/>
  <c r="AD719" i="1" s="1"/>
  <c r="AK719" i="1"/>
  <c r="AJ719" i="1"/>
  <c r="AH719" i="1"/>
  <c r="AG719" i="1"/>
  <c r="AF719" i="1"/>
  <c r="AC719" i="1"/>
  <c r="AB719" i="1"/>
  <c r="Z719" i="1"/>
  <c r="J719" i="1"/>
  <c r="AL719" i="1" s="1"/>
  <c r="I719" i="1"/>
  <c r="H719" i="1"/>
  <c r="BJ716" i="1"/>
  <c r="BF716" i="1"/>
  <c r="BD716" i="1"/>
  <c r="AP716" i="1"/>
  <c r="BI716" i="1" s="1"/>
  <c r="AE716" i="1" s="1"/>
  <c r="AO716" i="1"/>
  <c r="AL716" i="1"/>
  <c r="AK716" i="1"/>
  <c r="AJ716" i="1"/>
  <c r="AH716" i="1"/>
  <c r="AG716" i="1"/>
  <c r="AF716" i="1"/>
  <c r="AC716" i="1"/>
  <c r="AB716" i="1"/>
  <c r="Z716" i="1"/>
  <c r="J716" i="1"/>
  <c r="I716" i="1"/>
  <c r="BJ707" i="1"/>
  <c r="BI707" i="1"/>
  <c r="AE707" i="1" s="1"/>
  <c r="BF707" i="1"/>
  <c r="BD707" i="1"/>
  <c r="AP707" i="1"/>
  <c r="AO707" i="1"/>
  <c r="AW707" i="1" s="1"/>
  <c r="AK707" i="1"/>
  <c r="AJ707" i="1"/>
  <c r="AH707" i="1"/>
  <c r="AG707" i="1"/>
  <c r="AF707" i="1"/>
  <c r="AC707" i="1"/>
  <c r="AB707" i="1"/>
  <c r="Z707" i="1"/>
  <c r="J707" i="1"/>
  <c r="AL707" i="1" s="1"/>
  <c r="BJ704" i="1"/>
  <c r="BF704" i="1"/>
  <c r="BD704" i="1"/>
  <c r="AP704" i="1"/>
  <c r="AX704" i="1" s="1"/>
  <c r="AO704" i="1"/>
  <c r="AW704" i="1" s="1"/>
  <c r="AK704" i="1"/>
  <c r="AJ704" i="1"/>
  <c r="AH704" i="1"/>
  <c r="AG704" i="1"/>
  <c r="AF704" i="1"/>
  <c r="AC704" i="1"/>
  <c r="AB704" i="1"/>
  <c r="Z704" i="1"/>
  <c r="J704" i="1"/>
  <c r="AL704" i="1" s="1"/>
  <c r="H704" i="1"/>
  <c r="BJ695" i="1"/>
  <c r="BH695" i="1"/>
  <c r="AD695" i="1" s="1"/>
  <c r="BF695" i="1"/>
  <c r="BD695" i="1"/>
  <c r="AW695" i="1"/>
  <c r="AP695" i="1"/>
  <c r="AX695" i="1" s="1"/>
  <c r="AO695" i="1"/>
  <c r="H695" i="1" s="1"/>
  <c r="AK695" i="1"/>
  <c r="AJ695" i="1"/>
  <c r="AH695" i="1"/>
  <c r="AG695" i="1"/>
  <c r="AF695" i="1"/>
  <c r="AC695" i="1"/>
  <c r="AB695" i="1"/>
  <c r="Z695" i="1"/>
  <c r="J695" i="1"/>
  <c r="AL695" i="1" s="1"/>
  <c r="I695" i="1"/>
  <c r="BJ686" i="1"/>
  <c r="BF686" i="1"/>
  <c r="BD686" i="1"/>
  <c r="AX686" i="1"/>
  <c r="AW686" i="1"/>
  <c r="BC686" i="1" s="1"/>
  <c r="AP686" i="1"/>
  <c r="I686" i="1" s="1"/>
  <c r="AO686" i="1"/>
  <c r="BH686" i="1" s="1"/>
  <c r="AD686" i="1" s="1"/>
  <c r="AK686" i="1"/>
  <c r="AJ686" i="1"/>
  <c r="AH686" i="1"/>
  <c r="AG686" i="1"/>
  <c r="AF686" i="1"/>
  <c r="AC686" i="1"/>
  <c r="AB686" i="1"/>
  <c r="Z686" i="1"/>
  <c r="J686" i="1"/>
  <c r="H686" i="1"/>
  <c r="BJ683" i="1"/>
  <c r="BF683" i="1"/>
  <c r="BD683" i="1"/>
  <c r="AP683" i="1"/>
  <c r="AX683" i="1" s="1"/>
  <c r="AO683" i="1"/>
  <c r="H683" i="1" s="1"/>
  <c r="H682" i="1" s="1"/>
  <c r="E48" i="2" s="1"/>
  <c r="AK683" i="1"/>
  <c r="AJ683" i="1"/>
  <c r="AS682" i="1" s="1"/>
  <c r="AH683" i="1"/>
  <c r="AG683" i="1"/>
  <c r="AF683" i="1"/>
  <c r="AC683" i="1"/>
  <c r="AB683" i="1"/>
  <c r="Z683" i="1"/>
  <c r="J683" i="1"/>
  <c r="AL683" i="1" s="1"/>
  <c r="AU682" i="1" s="1"/>
  <c r="I683" i="1"/>
  <c r="I682" i="1" s="1"/>
  <c r="F48" i="2" s="1"/>
  <c r="AT682" i="1"/>
  <c r="J682" i="1"/>
  <c r="G48" i="2" s="1"/>
  <c r="I48" i="2" s="1"/>
  <c r="BJ681" i="1"/>
  <c r="Z681" i="1" s="1"/>
  <c r="BF681" i="1"/>
  <c r="BD681" i="1"/>
  <c r="AP681" i="1"/>
  <c r="AX681" i="1" s="1"/>
  <c r="AO681" i="1"/>
  <c r="AW681" i="1" s="1"/>
  <c r="AK681" i="1"/>
  <c r="AJ681" i="1"/>
  <c r="AH681" i="1"/>
  <c r="AG681" i="1"/>
  <c r="AF681" i="1"/>
  <c r="AE681" i="1"/>
  <c r="AD681" i="1"/>
  <c r="AC681" i="1"/>
  <c r="AB681" i="1"/>
  <c r="J681" i="1"/>
  <c r="AL681" i="1" s="1"/>
  <c r="H681" i="1"/>
  <c r="BJ678" i="1"/>
  <c r="BF678" i="1"/>
  <c r="BD678" i="1"/>
  <c r="AP678" i="1"/>
  <c r="AX678" i="1" s="1"/>
  <c r="AO678" i="1"/>
  <c r="H678" i="1" s="1"/>
  <c r="AK678" i="1"/>
  <c r="AJ678" i="1"/>
  <c r="AH678" i="1"/>
  <c r="AG678" i="1"/>
  <c r="AF678" i="1"/>
  <c r="AC678" i="1"/>
  <c r="AB678" i="1"/>
  <c r="Z678" i="1"/>
  <c r="J678" i="1"/>
  <c r="AL678" i="1" s="1"/>
  <c r="I678" i="1"/>
  <c r="BJ675" i="1"/>
  <c r="BI675" i="1"/>
  <c r="AE675" i="1" s="1"/>
  <c r="BF675" i="1"/>
  <c r="BD675" i="1"/>
  <c r="AX675" i="1"/>
  <c r="AP675" i="1"/>
  <c r="I675" i="1" s="1"/>
  <c r="AO675" i="1"/>
  <c r="AK675" i="1"/>
  <c r="AJ675" i="1"/>
  <c r="AH675" i="1"/>
  <c r="AG675" i="1"/>
  <c r="AF675" i="1"/>
  <c r="AC675" i="1"/>
  <c r="AB675" i="1"/>
  <c r="Z675" i="1"/>
  <c r="J675" i="1"/>
  <c r="AL675" i="1" s="1"/>
  <c r="BJ672" i="1"/>
  <c r="BH672" i="1"/>
  <c r="AD672" i="1" s="1"/>
  <c r="BF672" i="1"/>
  <c r="BD672" i="1"/>
  <c r="AX672" i="1"/>
  <c r="AV672" i="1" s="1"/>
  <c r="AP672" i="1"/>
  <c r="BI672" i="1" s="1"/>
  <c r="AE672" i="1" s="1"/>
  <c r="AO672" i="1"/>
  <c r="AW672" i="1" s="1"/>
  <c r="BC672" i="1" s="1"/>
  <c r="AK672" i="1"/>
  <c r="AJ672" i="1"/>
  <c r="AH672" i="1"/>
  <c r="AG672" i="1"/>
  <c r="AF672" i="1"/>
  <c r="AC672" i="1"/>
  <c r="AB672" i="1"/>
  <c r="Z672" i="1"/>
  <c r="J672" i="1"/>
  <c r="AL672" i="1" s="1"/>
  <c r="I672" i="1"/>
  <c r="BJ669" i="1"/>
  <c r="BI669" i="1"/>
  <c r="AE669" i="1" s="1"/>
  <c r="BF669" i="1"/>
  <c r="BD669" i="1"/>
  <c r="AP669" i="1"/>
  <c r="AX669" i="1" s="1"/>
  <c r="AO669" i="1"/>
  <c r="AK669" i="1"/>
  <c r="AJ669" i="1"/>
  <c r="AH669" i="1"/>
  <c r="AG669" i="1"/>
  <c r="AF669" i="1"/>
  <c r="AC669" i="1"/>
  <c r="AB669" i="1"/>
  <c r="Z669" i="1"/>
  <c r="J669" i="1"/>
  <c r="AL669" i="1" s="1"/>
  <c r="I669" i="1"/>
  <c r="H669" i="1"/>
  <c r="BJ667" i="1"/>
  <c r="BF667" i="1"/>
  <c r="BD667" i="1"/>
  <c r="AX667" i="1"/>
  <c r="AP667" i="1"/>
  <c r="BI667" i="1" s="1"/>
  <c r="AE667" i="1" s="1"/>
  <c r="AO667" i="1"/>
  <c r="BH667" i="1" s="1"/>
  <c r="AD667" i="1" s="1"/>
  <c r="AL667" i="1"/>
  <c r="AK667" i="1"/>
  <c r="AJ667" i="1"/>
  <c r="AH667" i="1"/>
  <c r="AG667" i="1"/>
  <c r="AF667" i="1"/>
  <c r="AC667" i="1"/>
  <c r="AB667" i="1"/>
  <c r="Z667" i="1"/>
  <c r="J667" i="1"/>
  <c r="I667" i="1"/>
  <c r="H667" i="1"/>
  <c r="AS666" i="1"/>
  <c r="BJ665" i="1"/>
  <c r="BF665" i="1"/>
  <c r="BD665" i="1"/>
  <c r="AW665" i="1"/>
  <c r="AP665" i="1"/>
  <c r="AO665" i="1"/>
  <c r="BH665" i="1" s="1"/>
  <c r="AK665" i="1"/>
  <c r="AJ665" i="1"/>
  <c r="AH665" i="1"/>
  <c r="AG665" i="1"/>
  <c r="AF665" i="1"/>
  <c r="AE665" i="1"/>
  <c r="AD665" i="1"/>
  <c r="AC665" i="1"/>
  <c r="AB665" i="1"/>
  <c r="Z665" i="1"/>
  <c r="J665" i="1"/>
  <c r="AL665" i="1" s="1"/>
  <c r="H665" i="1"/>
  <c r="BJ663" i="1"/>
  <c r="BF663" i="1"/>
  <c r="BD663" i="1"/>
  <c r="AX663" i="1"/>
  <c r="AP663" i="1"/>
  <c r="BI663" i="1" s="1"/>
  <c r="AE663" i="1" s="1"/>
  <c r="AO663" i="1"/>
  <c r="BH663" i="1" s="1"/>
  <c r="AD663" i="1" s="1"/>
  <c r="AK663" i="1"/>
  <c r="AJ663" i="1"/>
  <c r="AH663" i="1"/>
  <c r="AG663" i="1"/>
  <c r="AF663" i="1"/>
  <c r="AC663" i="1"/>
  <c r="AB663" i="1"/>
  <c r="Z663" i="1"/>
  <c r="J663" i="1"/>
  <c r="AL663" i="1" s="1"/>
  <c r="I663" i="1"/>
  <c r="BJ662" i="1"/>
  <c r="BF662" i="1"/>
  <c r="BD662" i="1"/>
  <c r="AW662" i="1"/>
  <c r="AP662" i="1"/>
  <c r="BI662" i="1" s="1"/>
  <c r="AE662" i="1" s="1"/>
  <c r="AO662" i="1"/>
  <c r="H662" i="1" s="1"/>
  <c r="AK662" i="1"/>
  <c r="AJ662" i="1"/>
  <c r="AH662" i="1"/>
  <c r="AG662" i="1"/>
  <c r="AF662" i="1"/>
  <c r="AC662" i="1"/>
  <c r="AB662" i="1"/>
  <c r="Z662" i="1"/>
  <c r="J662" i="1"/>
  <c r="AL662" i="1" s="1"/>
  <c r="I662" i="1"/>
  <c r="BJ659" i="1"/>
  <c r="BI659" i="1"/>
  <c r="AE659" i="1" s="1"/>
  <c r="BF659" i="1"/>
  <c r="BD659" i="1"/>
  <c r="AP659" i="1"/>
  <c r="I659" i="1" s="1"/>
  <c r="AO659" i="1"/>
  <c r="AK659" i="1"/>
  <c r="AJ659" i="1"/>
  <c r="AH659" i="1"/>
  <c r="AG659" i="1"/>
  <c r="AF659" i="1"/>
  <c r="AC659" i="1"/>
  <c r="AB659" i="1"/>
  <c r="Z659" i="1"/>
  <c r="J659" i="1"/>
  <c r="AL659" i="1" s="1"/>
  <c r="BJ656" i="1"/>
  <c r="BF656" i="1"/>
  <c r="BD656" i="1"/>
  <c r="AP656" i="1"/>
  <c r="BI656" i="1" s="1"/>
  <c r="AE656" i="1" s="1"/>
  <c r="AO656" i="1"/>
  <c r="AW656" i="1" s="1"/>
  <c r="AK656" i="1"/>
  <c r="AJ656" i="1"/>
  <c r="AH656" i="1"/>
  <c r="AG656" i="1"/>
  <c r="AF656" i="1"/>
  <c r="AC656" i="1"/>
  <c r="AB656" i="1"/>
  <c r="Z656" i="1"/>
  <c r="J656" i="1"/>
  <c r="AL656" i="1" s="1"/>
  <c r="BJ653" i="1"/>
  <c r="BF653" i="1"/>
  <c r="BD653" i="1"/>
  <c r="AP653" i="1"/>
  <c r="AX653" i="1" s="1"/>
  <c r="AO653" i="1"/>
  <c r="H653" i="1" s="1"/>
  <c r="AK653" i="1"/>
  <c r="AJ653" i="1"/>
  <c r="AH653" i="1"/>
  <c r="AG653" i="1"/>
  <c r="AF653" i="1"/>
  <c r="AC653" i="1"/>
  <c r="AB653" i="1"/>
  <c r="Z653" i="1"/>
  <c r="J653" i="1"/>
  <c r="AL653" i="1" s="1"/>
  <c r="BJ651" i="1"/>
  <c r="BF651" i="1"/>
  <c r="BD651" i="1"/>
  <c r="AW651" i="1"/>
  <c r="AP651" i="1"/>
  <c r="BI651" i="1" s="1"/>
  <c r="AE651" i="1" s="1"/>
  <c r="AO651" i="1"/>
  <c r="BH651" i="1" s="1"/>
  <c r="AD651" i="1" s="1"/>
  <c r="AK651" i="1"/>
  <c r="AJ651" i="1"/>
  <c r="AH651" i="1"/>
  <c r="AG651" i="1"/>
  <c r="AF651" i="1"/>
  <c r="AC651" i="1"/>
  <c r="AB651" i="1"/>
  <c r="Z651" i="1"/>
  <c r="J651" i="1"/>
  <c r="AL651" i="1" s="1"/>
  <c r="H651" i="1"/>
  <c r="BJ649" i="1"/>
  <c r="BF649" i="1"/>
  <c r="BD649" i="1"/>
  <c r="AP649" i="1"/>
  <c r="AO649" i="1"/>
  <c r="AK649" i="1"/>
  <c r="AJ649" i="1"/>
  <c r="AH649" i="1"/>
  <c r="AG649" i="1"/>
  <c r="AF649" i="1"/>
  <c r="AC649" i="1"/>
  <c r="AB649" i="1"/>
  <c r="Z649" i="1"/>
  <c r="J649" i="1"/>
  <c r="AL649" i="1" s="1"/>
  <c r="BJ647" i="1"/>
  <c r="BF647" i="1"/>
  <c r="BD647" i="1"/>
  <c r="AW647" i="1"/>
  <c r="AP647" i="1"/>
  <c r="AO647" i="1"/>
  <c r="BH647" i="1" s="1"/>
  <c r="AD647" i="1" s="1"/>
  <c r="AK647" i="1"/>
  <c r="AJ647" i="1"/>
  <c r="AH647" i="1"/>
  <c r="AG647" i="1"/>
  <c r="AF647" i="1"/>
  <c r="AC647" i="1"/>
  <c r="AB647" i="1"/>
  <c r="Z647" i="1"/>
  <c r="J647" i="1"/>
  <c r="AL647" i="1" s="1"/>
  <c r="H647" i="1"/>
  <c r="BJ643" i="1"/>
  <c r="BF643" i="1"/>
  <c r="BD643" i="1"/>
  <c r="AP643" i="1"/>
  <c r="BI643" i="1" s="1"/>
  <c r="AE643" i="1" s="1"/>
  <c r="AO643" i="1"/>
  <c r="AL643" i="1"/>
  <c r="AK643" i="1"/>
  <c r="AJ643" i="1"/>
  <c r="AH643" i="1"/>
  <c r="AG643" i="1"/>
  <c r="AF643" i="1"/>
  <c r="AC643" i="1"/>
  <c r="AB643" i="1"/>
  <c r="Z643" i="1"/>
  <c r="J643" i="1"/>
  <c r="I643" i="1"/>
  <c r="BJ641" i="1"/>
  <c r="BF641" i="1"/>
  <c r="BD641" i="1"/>
  <c r="AX641" i="1"/>
  <c r="AW641" i="1"/>
  <c r="AP641" i="1"/>
  <c r="I641" i="1" s="1"/>
  <c r="AO641" i="1"/>
  <c r="BH641" i="1" s="1"/>
  <c r="AD641" i="1" s="1"/>
  <c r="AK641" i="1"/>
  <c r="AJ641" i="1"/>
  <c r="AH641" i="1"/>
  <c r="AG641" i="1"/>
  <c r="AF641" i="1"/>
  <c r="AC641" i="1"/>
  <c r="AB641" i="1"/>
  <c r="Z641" i="1"/>
  <c r="J641" i="1"/>
  <c r="AL641" i="1" s="1"/>
  <c r="H641" i="1"/>
  <c r="BJ638" i="1"/>
  <c r="BF638" i="1"/>
  <c r="BD638" i="1"/>
  <c r="AP638" i="1"/>
  <c r="BI638" i="1" s="1"/>
  <c r="AE638" i="1" s="1"/>
  <c r="AO638" i="1"/>
  <c r="AW638" i="1" s="1"/>
  <c r="AK638" i="1"/>
  <c r="AJ638" i="1"/>
  <c r="AH638" i="1"/>
  <c r="AG638" i="1"/>
  <c r="AF638" i="1"/>
  <c r="AC638" i="1"/>
  <c r="AB638" i="1"/>
  <c r="Z638" i="1"/>
  <c r="J638" i="1"/>
  <c r="AL638" i="1" s="1"/>
  <c r="H638" i="1"/>
  <c r="BJ635" i="1"/>
  <c r="BF635" i="1"/>
  <c r="BD635" i="1"/>
  <c r="AW635" i="1"/>
  <c r="BC635" i="1" s="1"/>
  <c r="AP635" i="1"/>
  <c r="AX635" i="1" s="1"/>
  <c r="AO635" i="1"/>
  <c r="H635" i="1" s="1"/>
  <c r="AK635" i="1"/>
  <c r="AJ635" i="1"/>
  <c r="AH635" i="1"/>
  <c r="AG635" i="1"/>
  <c r="AF635" i="1"/>
  <c r="AC635" i="1"/>
  <c r="AB635" i="1"/>
  <c r="Z635" i="1"/>
  <c r="J635" i="1"/>
  <c r="AL635" i="1" s="1"/>
  <c r="I635" i="1"/>
  <c r="BJ633" i="1"/>
  <c r="BF633" i="1"/>
  <c r="BD633" i="1"/>
  <c r="AW633" i="1"/>
  <c r="AP633" i="1"/>
  <c r="AO633" i="1"/>
  <c r="BH633" i="1" s="1"/>
  <c r="AD633" i="1" s="1"/>
  <c r="AL633" i="1"/>
  <c r="AK633" i="1"/>
  <c r="AJ633" i="1"/>
  <c r="AH633" i="1"/>
  <c r="AG633" i="1"/>
  <c r="AF633" i="1"/>
  <c r="AC633" i="1"/>
  <c r="AB633" i="1"/>
  <c r="Z633" i="1"/>
  <c r="J633" i="1"/>
  <c r="H633" i="1"/>
  <c r="BJ628" i="1"/>
  <c r="BF628" i="1"/>
  <c r="BD628" i="1"/>
  <c r="AX628" i="1"/>
  <c r="AP628" i="1"/>
  <c r="BI628" i="1" s="1"/>
  <c r="AE628" i="1" s="1"/>
  <c r="AO628" i="1"/>
  <c r="BH628" i="1" s="1"/>
  <c r="AD628" i="1" s="1"/>
  <c r="AK628" i="1"/>
  <c r="AJ628" i="1"/>
  <c r="AH628" i="1"/>
  <c r="AG628" i="1"/>
  <c r="AF628" i="1"/>
  <c r="AC628" i="1"/>
  <c r="AB628" i="1"/>
  <c r="Z628" i="1"/>
  <c r="J628" i="1"/>
  <c r="AL628" i="1" s="1"/>
  <c r="I628" i="1"/>
  <c r="BJ626" i="1"/>
  <c r="BF626" i="1"/>
  <c r="BD626" i="1"/>
  <c r="AP626" i="1"/>
  <c r="BI626" i="1" s="1"/>
  <c r="AE626" i="1" s="1"/>
  <c r="AO626" i="1"/>
  <c r="BH626" i="1" s="1"/>
  <c r="AD626" i="1" s="1"/>
  <c r="AK626" i="1"/>
  <c r="AJ626" i="1"/>
  <c r="AH626" i="1"/>
  <c r="AG626" i="1"/>
  <c r="AF626" i="1"/>
  <c r="AC626" i="1"/>
  <c r="AB626" i="1"/>
  <c r="Z626" i="1"/>
  <c r="J626" i="1"/>
  <c r="AL626" i="1" s="1"/>
  <c r="BJ624" i="1"/>
  <c r="BF624" i="1"/>
  <c r="BD624" i="1"/>
  <c r="AP624" i="1"/>
  <c r="BI624" i="1" s="1"/>
  <c r="AE624" i="1" s="1"/>
  <c r="AO624" i="1"/>
  <c r="AL624" i="1"/>
  <c r="AK624" i="1"/>
  <c r="AJ624" i="1"/>
  <c r="AH624" i="1"/>
  <c r="AG624" i="1"/>
  <c r="AF624" i="1"/>
  <c r="AC624" i="1"/>
  <c r="AB624" i="1"/>
  <c r="Z624" i="1"/>
  <c r="J624" i="1"/>
  <c r="BJ621" i="1"/>
  <c r="BF621" i="1"/>
  <c r="BD621" i="1"/>
  <c r="AP621" i="1"/>
  <c r="BI621" i="1" s="1"/>
  <c r="AE621" i="1" s="1"/>
  <c r="AO621" i="1"/>
  <c r="AL621" i="1"/>
  <c r="AK621" i="1"/>
  <c r="AJ621" i="1"/>
  <c r="AH621" i="1"/>
  <c r="AG621" i="1"/>
  <c r="AF621" i="1"/>
  <c r="AC621" i="1"/>
  <c r="AB621" i="1"/>
  <c r="Z621" i="1"/>
  <c r="J621" i="1"/>
  <c r="I621" i="1"/>
  <c r="BJ617" i="1"/>
  <c r="BF617" i="1"/>
  <c r="BD617" i="1"/>
  <c r="AX617" i="1"/>
  <c r="AW617" i="1"/>
  <c r="AP617" i="1"/>
  <c r="I617" i="1" s="1"/>
  <c r="AO617" i="1"/>
  <c r="BH617" i="1" s="1"/>
  <c r="AD617" i="1" s="1"/>
  <c r="AK617" i="1"/>
  <c r="AJ617" i="1"/>
  <c r="AH617" i="1"/>
  <c r="AG617" i="1"/>
  <c r="AF617" i="1"/>
  <c r="AC617" i="1"/>
  <c r="AB617" i="1"/>
  <c r="Z617" i="1"/>
  <c r="J617" i="1"/>
  <c r="AL617" i="1" s="1"/>
  <c r="H617" i="1"/>
  <c r="BJ615" i="1"/>
  <c r="BF615" i="1"/>
  <c r="BD615" i="1"/>
  <c r="AP615" i="1"/>
  <c r="BI615" i="1" s="1"/>
  <c r="AE615" i="1" s="1"/>
  <c r="AO615" i="1"/>
  <c r="AW615" i="1" s="1"/>
  <c r="AK615" i="1"/>
  <c r="AJ615" i="1"/>
  <c r="AH615" i="1"/>
  <c r="AG615" i="1"/>
  <c r="AF615" i="1"/>
  <c r="AC615" i="1"/>
  <c r="AB615" i="1"/>
  <c r="Z615" i="1"/>
  <c r="J615" i="1"/>
  <c r="AL615" i="1" s="1"/>
  <c r="H615" i="1"/>
  <c r="BJ613" i="1"/>
  <c r="BF613" i="1"/>
  <c r="BD613" i="1"/>
  <c r="AP613" i="1"/>
  <c r="AX613" i="1" s="1"/>
  <c r="AO613" i="1"/>
  <c r="AK613" i="1"/>
  <c r="AJ613" i="1"/>
  <c r="AH613" i="1"/>
  <c r="AG613" i="1"/>
  <c r="AF613" i="1"/>
  <c r="AC613" i="1"/>
  <c r="AB613" i="1"/>
  <c r="Z613" i="1"/>
  <c r="J613" i="1"/>
  <c r="AL613" i="1" s="1"/>
  <c r="I613" i="1"/>
  <c r="BJ610" i="1"/>
  <c r="BF610" i="1"/>
  <c r="BD610" i="1"/>
  <c r="AX610" i="1"/>
  <c r="AW610" i="1"/>
  <c r="AP610" i="1"/>
  <c r="BI610" i="1" s="1"/>
  <c r="AE610" i="1" s="1"/>
  <c r="AO610" i="1"/>
  <c r="BH610" i="1" s="1"/>
  <c r="AD610" i="1" s="1"/>
  <c r="AK610" i="1"/>
  <c r="AJ610" i="1"/>
  <c r="AH610" i="1"/>
  <c r="AG610" i="1"/>
  <c r="AF610" i="1"/>
  <c r="AC610" i="1"/>
  <c r="AB610" i="1"/>
  <c r="Z610" i="1"/>
  <c r="J610" i="1"/>
  <c r="AL610" i="1" s="1"/>
  <c r="I610" i="1"/>
  <c r="H610" i="1"/>
  <c r="BJ608" i="1"/>
  <c r="BF608" i="1"/>
  <c r="BD608" i="1"/>
  <c r="AX608" i="1"/>
  <c r="AP608" i="1"/>
  <c r="BI608" i="1" s="1"/>
  <c r="AE608" i="1" s="1"/>
  <c r="AO608" i="1"/>
  <c r="BH608" i="1" s="1"/>
  <c r="AD608" i="1" s="1"/>
  <c r="AK608" i="1"/>
  <c r="AJ608" i="1"/>
  <c r="AH608" i="1"/>
  <c r="AG608" i="1"/>
  <c r="AF608" i="1"/>
  <c r="AC608" i="1"/>
  <c r="AB608" i="1"/>
  <c r="Z608" i="1"/>
  <c r="J608" i="1"/>
  <c r="AL608" i="1" s="1"/>
  <c r="I608" i="1"/>
  <c r="BJ605" i="1"/>
  <c r="BF605" i="1"/>
  <c r="BD605" i="1"/>
  <c r="AP605" i="1"/>
  <c r="BI605" i="1" s="1"/>
  <c r="AE605" i="1" s="1"/>
  <c r="AO605" i="1"/>
  <c r="BH605" i="1" s="1"/>
  <c r="AD605" i="1" s="1"/>
  <c r="AK605" i="1"/>
  <c r="AJ605" i="1"/>
  <c r="AH605" i="1"/>
  <c r="AG605" i="1"/>
  <c r="AF605" i="1"/>
  <c r="AC605" i="1"/>
  <c r="AB605" i="1"/>
  <c r="Z605" i="1"/>
  <c r="J605" i="1"/>
  <c r="AL605" i="1" s="1"/>
  <c r="BJ604" i="1"/>
  <c r="BF604" i="1"/>
  <c r="BD604" i="1"/>
  <c r="AP604" i="1"/>
  <c r="BI604" i="1" s="1"/>
  <c r="AE604" i="1" s="1"/>
  <c r="AO604" i="1"/>
  <c r="BH604" i="1" s="1"/>
  <c r="AD604" i="1" s="1"/>
  <c r="AK604" i="1"/>
  <c r="AJ604" i="1"/>
  <c r="AH604" i="1"/>
  <c r="AG604" i="1"/>
  <c r="AF604" i="1"/>
  <c r="AC604" i="1"/>
  <c r="AB604" i="1"/>
  <c r="Z604" i="1"/>
  <c r="J604" i="1"/>
  <c r="AL604" i="1" s="1"/>
  <c r="BJ601" i="1"/>
  <c r="BF601" i="1"/>
  <c r="BD601" i="1"/>
  <c r="AW601" i="1"/>
  <c r="AP601" i="1"/>
  <c r="BI601" i="1" s="1"/>
  <c r="AE601" i="1" s="1"/>
  <c r="AO601" i="1"/>
  <c r="H601" i="1" s="1"/>
  <c r="AL601" i="1"/>
  <c r="AK601" i="1"/>
  <c r="AJ601" i="1"/>
  <c r="AH601" i="1"/>
  <c r="AG601" i="1"/>
  <c r="AF601" i="1"/>
  <c r="AC601" i="1"/>
  <c r="AB601" i="1"/>
  <c r="Z601" i="1"/>
  <c r="J601" i="1"/>
  <c r="I601" i="1"/>
  <c r="BJ598" i="1"/>
  <c r="BF598" i="1"/>
  <c r="BD598" i="1"/>
  <c r="AW598" i="1"/>
  <c r="AP598" i="1"/>
  <c r="AO598" i="1"/>
  <c r="BH598" i="1" s="1"/>
  <c r="AD598" i="1" s="1"/>
  <c r="AK598" i="1"/>
  <c r="AJ598" i="1"/>
  <c r="AH598" i="1"/>
  <c r="AG598" i="1"/>
  <c r="AF598" i="1"/>
  <c r="AC598" i="1"/>
  <c r="AB598" i="1"/>
  <c r="Z598" i="1"/>
  <c r="J598" i="1"/>
  <c r="AL598" i="1" s="1"/>
  <c r="H598" i="1"/>
  <c r="BJ595" i="1"/>
  <c r="BF595" i="1"/>
  <c r="BD595" i="1"/>
  <c r="AP595" i="1"/>
  <c r="AO595" i="1"/>
  <c r="AW595" i="1" s="1"/>
  <c r="AK595" i="1"/>
  <c r="AJ595" i="1"/>
  <c r="AH595" i="1"/>
  <c r="AG595" i="1"/>
  <c r="AF595" i="1"/>
  <c r="AC595" i="1"/>
  <c r="AB595" i="1"/>
  <c r="Z595" i="1"/>
  <c r="J595" i="1"/>
  <c r="AL595" i="1" s="1"/>
  <c r="H595" i="1"/>
  <c r="BJ592" i="1"/>
  <c r="BF592" i="1"/>
  <c r="BD592" i="1"/>
  <c r="AW592" i="1"/>
  <c r="BC592" i="1" s="1"/>
  <c r="AP592" i="1"/>
  <c r="AX592" i="1" s="1"/>
  <c r="AO592" i="1"/>
  <c r="BH592" i="1" s="1"/>
  <c r="AD592" i="1" s="1"/>
  <c r="AK592" i="1"/>
  <c r="AJ592" i="1"/>
  <c r="AH592" i="1"/>
  <c r="AG592" i="1"/>
  <c r="AF592" i="1"/>
  <c r="AC592" i="1"/>
  <c r="AB592" i="1"/>
  <c r="Z592" i="1"/>
  <c r="J592" i="1"/>
  <c r="AL592" i="1" s="1"/>
  <c r="I592" i="1"/>
  <c r="H592" i="1"/>
  <c r="BJ589" i="1"/>
  <c r="BF589" i="1"/>
  <c r="BD589" i="1"/>
  <c r="AX589" i="1"/>
  <c r="AP589" i="1"/>
  <c r="BI589" i="1" s="1"/>
  <c r="AE589" i="1" s="1"/>
  <c r="AO589" i="1"/>
  <c r="BH589" i="1" s="1"/>
  <c r="AD589" i="1" s="1"/>
  <c r="AL589" i="1"/>
  <c r="AK589" i="1"/>
  <c r="AJ589" i="1"/>
  <c r="AH589" i="1"/>
  <c r="AG589" i="1"/>
  <c r="AF589" i="1"/>
  <c r="AC589" i="1"/>
  <c r="AB589" i="1"/>
  <c r="Z589" i="1"/>
  <c r="J589" i="1"/>
  <c r="I589" i="1"/>
  <c r="H589" i="1"/>
  <c r="BJ586" i="1"/>
  <c r="BF586" i="1"/>
  <c r="BD586" i="1"/>
  <c r="AX586" i="1"/>
  <c r="AP586" i="1"/>
  <c r="BI586" i="1" s="1"/>
  <c r="AE586" i="1" s="1"/>
  <c r="AO586" i="1"/>
  <c r="AK586" i="1"/>
  <c r="AJ586" i="1"/>
  <c r="AH586" i="1"/>
  <c r="AG586" i="1"/>
  <c r="AF586" i="1"/>
  <c r="AC586" i="1"/>
  <c r="AB586" i="1"/>
  <c r="Z586" i="1"/>
  <c r="J586" i="1"/>
  <c r="AL586" i="1" s="1"/>
  <c r="I586" i="1"/>
  <c r="BJ583" i="1"/>
  <c r="BF583" i="1"/>
  <c r="BD583" i="1"/>
  <c r="AP583" i="1"/>
  <c r="BI583" i="1" s="1"/>
  <c r="AE583" i="1" s="1"/>
  <c r="AO583" i="1"/>
  <c r="BH583" i="1" s="1"/>
  <c r="AD583" i="1" s="1"/>
  <c r="AK583" i="1"/>
  <c r="AJ583" i="1"/>
  <c r="AH583" i="1"/>
  <c r="AG583" i="1"/>
  <c r="AF583" i="1"/>
  <c r="AC583" i="1"/>
  <c r="AB583" i="1"/>
  <c r="Z583" i="1"/>
  <c r="J583" i="1"/>
  <c r="AL583" i="1" s="1"/>
  <c r="BJ580" i="1"/>
  <c r="BF580" i="1"/>
  <c r="BD580" i="1"/>
  <c r="AP580" i="1"/>
  <c r="BI580" i="1" s="1"/>
  <c r="AE580" i="1" s="1"/>
  <c r="AO580" i="1"/>
  <c r="AL580" i="1"/>
  <c r="AK580" i="1"/>
  <c r="AJ580" i="1"/>
  <c r="AH580" i="1"/>
  <c r="AG580" i="1"/>
  <c r="AF580" i="1"/>
  <c r="AC580" i="1"/>
  <c r="AB580" i="1"/>
  <c r="Z580" i="1"/>
  <c r="J580" i="1"/>
  <c r="BJ577" i="1"/>
  <c r="BH577" i="1"/>
  <c r="AD577" i="1" s="1"/>
  <c r="BF577" i="1"/>
  <c r="BD577" i="1"/>
  <c r="AW577" i="1"/>
  <c r="AP577" i="1"/>
  <c r="BI577" i="1" s="1"/>
  <c r="AE577" i="1" s="1"/>
  <c r="AO577" i="1"/>
  <c r="H577" i="1" s="1"/>
  <c r="AL577" i="1"/>
  <c r="AK577" i="1"/>
  <c r="AJ577" i="1"/>
  <c r="AH577" i="1"/>
  <c r="AG577" i="1"/>
  <c r="AF577" i="1"/>
  <c r="AC577" i="1"/>
  <c r="AB577" i="1"/>
  <c r="Z577" i="1"/>
  <c r="J577" i="1"/>
  <c r="I577" i="1"/>
  <c r="BJ567" i="1"/>
  <c r="BF567" i="1"/>
  <c r="BD567" i="1"/>
  <c r="AW567" i="1"/>
  <c r="AP567" i="1"/>
  <c r="AO567" i="1"/>
  <c r="BH567" i="1" s="1"/>
  <c r="AD567" i="1" s="1"/>
  <c r="AK567" i="1"/>
  <c r="AJ567" i="1"/>
  <c r="AH567" i="1"/>
  <c r="AG567" i="1"/>
  <c r="AF567" i="1"/>
  <c r="AC567" i="1"/>
  <c r="AB567" i="1"/>
  <c r="Z567" i="1"/>
  <c r="J567" i="1"/>
  <c r="AL567" i="1" s="1"/>
  <c r="H567" i="1"/>
  <c r="BJ564" i="1"/>
  <c r="BF564" i="1"/>
  <c r="BD564" i="1"/>
  <c r="AX564" i="1"/>
  <c r="BC564" i="1" s="1"/>
  <c r="AP564" i="1"/>
  <c r="AO564" i="1"/>
  <c r="AW564" i="1" s="1"/>
  <c r="AK564" i="1"/>
  <c r="AJ564" i="1"/>
  <c r="AH564" i="1"/>
  <c r="AG564" i="1"/>
  <c r="AF564" i="1"/>
  <c r="AC564" i="1"/>
  <c r="AB564" i="1"/>
  <c r="Z564" i="1"/>
  <c r="J564" i="1"/>
  <c r="AL564" i="1" s="1"/>
  <c r="H564" i="1"/>
  <c r="BJ561" i="1"/>
  <c r="BF561" i="1"/>
  <c r="BD561" i="1"/>
  <c r="AP561" i="1"/>
  <c r="AX561" i="1" s="1"/>
  <c r="AO561" i="1"/>
  <c r="BH561" i="1" s="1"/>
  <c r="AD561" i="1" s="1"/>
  <c r="AK561" i="1"/>
  <c r="AJ561" i="1"/>
  <c r="AH561" i="1"/>
  <c r="AG561" i="1"/>
  <c r="AF561" i="1"/>
  <c r="AC561" i="1"/>
  <c r="AB561" i="1"/>
  <c r="Z561" i="1"/>
  <c r="J561" i="1"/>
  <c r="AL561" i="1" s="1"/>
  <c r="H561" i="1"/>
  <c r="BJ558" i="1"/>
  <c r="BF558" i="1"/>
  <c r="BD558" i="1"/>
  <c r="AP558" i="1"/>
  <c r="BI558" i="1" s="1"/>
  <c r="AE558" i="1" s="1"/>
  <c r="AO558" i="1"/>
  <c r="BH558" i="1" s="1"/>
  <c r="AD558" i="1" s="1"/>
  <c r="AL558" i="1"/>
  <c r="AK558" i="1"/>
  <c r="AJ558" i="1"/>
  <c r="AH558" i="1"/>
  <c r="AG558" i="1"/>
  <c r="AF558" i="1"/>
  <c r="AC558" i="1"/>
  <c r="AB558" i="1"/>
  <c r="Z558" i="1"/>
  <c r="J558" i="1"/>
  <c r="I558" i="1"/>
  <c r="H558" i="1"/>
  <c r="BJ554" i="1"/>
  <c r="BF554" i="1"/>
  <c r="BD554" i="1"/>
  <c r="AP554" i="1"/>
  <c r="BI554" i="1" s="1"/>
  <c r="AE554" i="1" s="1"/>
  <c r="AO554" i="1"/>
  <c r="BH554" i="1" s="1"/>
  <c r="AD554" i="1" s="1"/>
  <c r="AK554" i="1"/>
  <c r="AJ554" i="1"/>
  <c r="AH554" i="1"/>
  <c r="AG554" i="1"/>
  <c r="AF554" i="1"/>
  <c r="AC554" i="1"/>
  <c r="AB554" i="1"/>
  <c r="Z554" i="1"/>
  <c r="J554" i="1"/>
  <c r="AL554" i="1" s="1"/>
  <c r="BJ551" i="1"/>
  <c r="BF551" i="1"/>
  <c r="BD551" i="1"/>
  <c r="AP551" i="1"/>
  <c r="BI551" i="1" s="1"/>
  <c r="AE551" i="1" s="1"/>
  <c r="AO551" i="1"/>
  <c r="BH551" i="1" s="1"/>
  <c r="AD551" i="1" s="1"/>
  <c r="AK551" i="1"/>
  <c r="AJ551" i="1"/>
  <c r="AH551" i="1"/>
  <c r="AG551" i="1"/>
  <c r="AF551" i="1"/>
  <c r="AC551" i="1"/>
  <c r="AB551" i="1"/>
  <c r="Z551" i="1"/>
  <c r="J551" i="1"/>
  <c r="AL551" i="1" s="1"/>
  <c r="BJ548" i="1"/>
  <c r="BF548" i="1"/>
  <c r="BD548" i="1"/>
  <c r="AP548" i="1"/>
  <c r="BI548" i="1" s="1"/>
  <c r="AE548" i="1" s="1"/>
  <c r="AO548" i="1"/>
  <c r="BH548" i="1" s="1"/>
  <c r="AD548" i="1" s="1"/>
  <c r="AL548" i="1"/>
  <c r="AK548" i="1"/>
  <c r="AJ548" i="1"/>
  <c r="AH548" i="1"/>
  <c r="AG548" i="1"/>
  <c r="AF548" i="1"/>
  <c r="AC548" i="1"/>
  <c r="AB548" i="1"/>
  <c r="Z548" i="1"/>
  <c r="J548" i="1"/>
  <c r="H548" i="1"/>
  <c r="BJ545" i="1"/>
  <c r="BH545" i="1"/>
  <c r="AD545" i="1" s="1"/>
  <c r="BF545" i="1"/>
  <c r="BD545" i="1"/>
  <c r="AP545" i="1"/>
  <c r="BI545" i="1" s="1"/>
  <c r="AE545" i="1" s="1"/>
  <c r="AO545" i="1"/>
  <c r="H545" i="1" s="1"/>
  <c r="AL545" i="1"/>
  <c r="AK545" i="1"/>
  <c r="AJ545" i="1"/>
  <c r="AH545" i="1"/>
  <c r="AG545" i="1"/>
  <c r="AF545" i="1"/>
  <c r="AC545" i="1"/>
  <c r="AB545" i="1"/>
  <c r="Z545" i="1"/>
  <c r="J545" i="1"/>
  <c r="I545" i="1"/>
  <c r="BJ542" i="1"/>
  <c r="BF542" i="1"/>
  <c r="BD542" i="1"/>
  <c r="AW542" i="1"/>
  <c r="AP542" i="1"/>
  <c r="I542" i="1" s="1"/>
  <c r="AO542" i="1"/>
  <c r="BH542" i="1" s="1"/>
  <c r="AD542" i="1" s="1"/>
  <c r="AK542" i="1"/>
  <c r="AJ542" i="1"/>
  <c r="AH542" i="1"/>
  <c r="AG542" i="1"/>
  <c r="AF542" i="1"/>
  <c r="AC542" i="1"/>
  <c r="AB542" i="1"/>
  <c r="Z542" i="1"/>
  <c r="J542" i="1"/>
  <c r="AL542" i="1" s="1"/>
  <c r="H542" i="1"/>
  <c r="BJ539" i="1"/>
  <c r="BF539" i="1"/>
  <c r="BD539" i="1"/>
  <c r="AX539" i="1"/>
  <c r="BC539" i="1" s="1"/>
  <c r="AP539" i="1"/>
  <c r="BI539" i="1" s="1"/>
  <c r="AE539" i="1" s="1"/>
  <c r="AO539" i="1"/>
  <c r="AW539" i="1" s="1"/>
  <c r="AK539" i="1"/>
  <c r="AJ539" i="1"/>
  <c r="AH539" i="1"/>
  <c r="AG539" i="1"/>
  <c r="AF539" i="1"/>
  <c r="AC539" i="1"/>
  <c r="AB539" i="1"/>
  <c r="Z539" i="1"/>
  <c r="J539" i="1"/>
  <c r="AL539" i="1" s="1"/>
  <c r="I539" i="1"/>
  <c r="H539" i="1"/>
  <c r="BJ535" i="1"/>
  <c r="BF535" i="1"/>
  <c r="BD535" i="1"/>
  <c r="AP535" i="1"/>
  <c r="AX535" i="1" s="1"/>
  <c r="AO535" i="1"/>
  <c r="BH535" i="1" s="1"/>
  <c r="AD535" i="1" s="1"/>
  <c r="AK535" i="1"/>
  <c r="AJ535" i="1"/>
  <c r="AH535" i="1"/>
  <c r="AG535" i="1"/>
  <c r="AF535" i="1"/>
  <c r="AC535" i="1"/>
  <c r="AB535" i="1"/>
  <c r="Z535" i="1"/>
  <c r="J535" i="1"/>
  <c r="AL535" i="1" s="1"/>
  <c r="H535" i="1"/>
  <c r="BJ532" i="1"/>
  <c r="BF532" i="1"/>
  <c r="BD532" i="1"/>
  <c r="AX532" i="1"/>
  <c r="AP532" i="1"/>
  <c r="BI532" i="1" s="1"/>
  <c r="AE532" i="1" s="1"/>
  <c r="AO532" i="1"/>
  <c r="AW532" i="1" s="1"/>
  <c r="AK532" i="1"/>
  <c r="AJ532" i="1"/>
  <c r="AH532" i="1"/>
  <c r="AG532" i="1"/>
  <c r="AF532" i="1"/>
  <c r="AC532" i="1"/>
  <c r="AB532" i="1"/>
  <c r="Z532" i="1"/>
  <c r="J532" i="1"/>
  <c r="AL532" i="1" s="1"/>
  <c r="I532" i="1"/>
  <c r="H532" i="1"/>
  <c r="BJ529" i="1"/>
  <c r="BF529" i="1"/>
  <c r="BD529" i="1"/>
  <c r="AP529" i="1"/>
  <c r="AX529" i="1" s="1"/>
  <c r="AO529" i="1"/>
  <c r="H529" i="1" s="1"/>
  <c r="AL529" i="1"/>
  <c r="AK529" i="1"/>
  <c r="AJ529" i="1"/>
  <c r="AH529" i="1"/>
  <c r="AG529" i="1"/>
  <c r="AF529" i="1"/>
  <c r="AC529" i="1"/>
  <c r="AB529" i="1"/>
  <c r="Z529" i="1"/>
  <c r="J529" i="1"/>
  <c r="I529" i="1"/>
  <c r="BJ526" i="1"/>
  <c r="BF526" i="1"/>
  <c r="BD526" i="1"/>
  <c r="AP526" i="1"/>
  <c r="AO526" i="1"/>
  <c r="AK526" i="1"/>
  <c r="AJ526" i="1"/>
  <c r="AH526" i="1"/>
  <c r="AG526" i="1"/>
  <c r="AF526" i="1"/>
  <c r="AC526" i="1"/>
  <c r="AB526" i="1"/>
  <c r="Z526" i="1"/>
  <c r="J526" i="1"/>
  <c r="BJ518" i="1"/>
  <c r="BF518" i="1"/>
  <c r="BD518" i="1"/>
  <c r="AP518" i="1"/>
  <c r="BI518" i="1" s="1"/>
  <c r="AE518" i="1" s="1"/>
  <c r="AO518" i="1"/>
  <c r="BH518" i="1" s="1"/>
  <c r="AD518" i="1" s="1"/>
  <c r="AK518" i="1"/>
  <c r="AJ518" i="1"/>
  <c r="AH518" i="1"/>
  <c r="AG518" i="1"/>
  <c r="AF518" i="1"/>
  <c r="AC518" i="1"/>
  <c r="AB518" i="1"/>
  <c r="Z518" i="1"/>
  <c r="J518" i="1"/>
  <c r="AL518" i="1" s="1"/>
  <c r="H518" i="1"/>
  <c r="BJ516" i="1"/>
  <c r="Z516" i="1" s="1"/>
  <c r="BF516" i="1"/>
  <c r="BD516" i="1"/>
  <c r="AP516" i="1"/>
  <c r="I516" i="1" s="1"/>
  <c r="AO516" i="1"/>
  <c r="BH516" i="1" s="1"/>
  <c r="AK516" i="1"/>
  <c r="AJ516" i="1"/>
  <c r="AH516" i="1"/>
  <c r="AG516" i="1"/>
  <c r="AF516" i="1"/>
  <c r="AE516" i="1"/>
  <c r="AD516" i="1"/>
  <c r="AC516" i="1"/>
  <c r="AB516" i="1"/>
  <c r="J516" i="1"/>
  <c r="AL516" i="1" s="1"/>
  <c r="BJ515" i="1"/>
  <c r="BF515" i="1"/>
  <c r="BD515" i="1"/>
  <c r="AP515" i="1"/>
  <c r="BI515" i="1" s="1"/>
  <c r="AE515" i="1" s="1"/>
  <c r="AO515" i="1"/>
  <c r="H515" i="1" s="1"/>
  <c r="AL515" i="1"/>
  <c r="AK515" i="1"/>
  <c r="AJ515" i="1"/>
  <c r="AH515" i="1"/>
  <c r="AG515" i="1"/>
  <c r="AF515" i="1"/>
  <c r="AC515" i="1"/>
  <c r="AB515" i="1"/>
  <c r="Z515" i="1"/>
  <c r="J515" i="1"/>
  <c r="BJ514" i="1"/>
  <c r="BI514" i="1"/>
  <c r="AE514" i="1" s="1"/>
  <c r="BF514" i="1"/>
  <c r="BD514" i="1"/>
  <c r="AW514" i="1"/>
  <c r="AP514" i="1"/>
  <c r="AX514" i="1" s="1"/>
  <c r="AO514" i="1"/>
  <c r="BH514" i="1" s="1"/>
  <c r="AD514" i="1" s="1"/>
  <c r="AL514" i="1"/>
  <c r="AK514" i="1"/>
  <c r="AJ514" i="1"/>
  <c r="AH514" i="1"/>
  <c r="AG514" i="1"/>
  <c r="AF514" i="1"/>
  <c r="AC514" i="1"/>
  <c r="AB514" i="1"/>
  <c r="Z514" i="1"/>
  <c r="J514" i="1"/>
  <c r="I514" i="1"/>
  <c r="H514" i="1"/>
  <c r="BJ513" i="1"/>
  <c r="BF513" i="1"/>
  <c r="BD513" i="1"/>
  <c r="AP513" i="1"/>
  <c r="BI513" i="1" s="1"/>
  <c r="AE513" i="1" s="1"/>
  <c r="AO513" i="1"/>
  <c r="AW513" i="1" s="1"/>
  <c r="AK513" i="1"/>
  <c r="AJ513" i="1"/>
  <c r="AH513" i="1"/>
  <c r="AG513" i="1"/>
  <c r="AF513" i="1"/>
  <c r="AC513" i="1"/>
  <c r="AB513" i="1"/>
  <c r="Z513" i="1"/>
  <c r="J513" i="1"/>
  <c r="AL513" i="1" s="1"/>
  <c r="BJ511" i="1"/>
  <c r="BF511" i="1"/>
  <c r="BD511" i="1"/>
  <c r="AW511" i="1"/>
  <c r="AP511" i="1"/>
  <c r="AX511" i="1" s="1"/>
  <c r="AO511" i="1"/>
  <c r="BH511" i="1" s="1"/>
  <c r="AD511" i="1" s="1"/>
  <c r="AK511" i="1"/>
  <c r="AJ511" i="1"/>
  <c r="AH511" i="1"/>
  <c r="AG511" i="1"/>
  <c r="AF511" i="1"/>
  <c r="AC511" i="1"/>
  <c r="AB511" i="1"/>
  <c r="Z511" i="1"/>
  <c r="J511" i="1"/>
  <c r="AL511" i="1" s="1"/>
  <c r="BJ509" i="1"/>
  <c r="BF509" i="1"/>
  <c r="BD509" i="1"/>
  <c r="AP509" i="1"/>
  <c r="BI509" i="1" s="1"/>
  <c r="AE509" i="1" s="1"/>
  <c r="AO509" i="1"/>
  <c r="BH509" i="1" s="1"/>
  <c r="AD509" i="1" s="1"/>
  <c r="AL509" i="1"/>
  <c r="AK509" i="1"/>
  <c r="AJ509" i="1"/>
  <c r="AH509" i="1"/>
  <c r="AG509" i="1"/>
  <c r="AF509" i="1"/>
  <c r="AC509" i="1"/>
  <c r="AB509" i="1"/>
  <c r="Z509" i="1"/>
  <c r="J509" i="1"/>
  <c r="I509" i="1"/>
  <c r="BJ508" i="1"/>
  <c r="BF508" i="1"/>
  <c r="BD508" i="1"/>
  <c r="AW508" i="1"/>
  <c r="AP508" i="1"/>
  <c r="BI508" i="1" s="1"/>
  <c r="AE508" i="1" s="1"/>
  <c r="AO508" i="1"/>
  <c r="H508" i="1" s="1"/>
  <c r="AK508" i="1"/>
  <c r="AJ508" i="1"/>
  <c r="AH508" i="1"/>
  <c r="AG508" i="1"/>
  <c r="AF508" i="1"/>
  <c r="AC508" i="1"/>
  <c r="AB508" i="1"/>
  <c r="Z508" i="1"/>
  <c r="J508" i="1"/>
  <c r="J507" i="1" s="1"/>
  <c r="G45" i="2" s="1"/>
  <c r="I45" i="2" s="1"/>
  <c r="BJ506" i="1"/>
  <c r="Z506" i="1" s="1"/>
  <c r="BF506" i="1"/>
  <c r="BD506" i="1"/>
  <c r="AX506" i="1"/>
  <c r="AP506" i="1"/>
  <c r="BI506" i="1" s="1"/>
  <c r="AO506" i="1"/>
  <c r="AL506" i="1"/>
  <c r="AK506" i="1"/>
  <c r="AJ506" i="1"/>
  <c r="AH506" i="1"/>
  <c r="AG506" i="1"/>
  <c r="AF506" i="1"/>
  <c r="AE506" i="1"/>
  <c r="AD506" i="1"/>
  <c r="AC506" i="1"/>
  <c r="AB506" i="1"/>
  <c r="J506" i="1"/>
  <c r="I506" i="1"/>
  <c r="BJ504" i="1"/>
  <c r="BI504" i="1"/>
  <c r="AE504" i="1" s="1"/>
  <c r="BF504" i="1"/>
  <c r="BD504" i="1"/>
  <c r="AW504" i="1"/>
  <c r="AP504" i="1"/>
  <c r="AO504" i="1"/>
  <c r="H504" i="1" s="1"/>
  <c r="AK504" i="1"/>
  <c r="AJ504" i="1"/>
  <c r="AH504" i="1"/>
  <c r="AG504" i="1"/>
  <c r="AF504" i="1"/>
  <c r="AC504" i="1"/>
  <c r="AB504" i="1"/>
  <c r="Z504" i="1"/>
  <c r="J504" i="1"/>
  <c r="AL504" i="1" s="1"/>
  <c r="BJ502" i="1"/>
  <c r="BF502" i="1"/>
  <c r="BD502" i="1"/>
  <c r="AX502" i="1"/>
  <c r="AP502" i="1"/>
  <c r="I502" i="1" s="1"/>
  <c r="AO502" i="1"/>
  <c r="BH502" i="1" s="1"/>
  <c r="AD502" i="1" s="1"/>
  <c r="AL502" i="1"/>
  <c r="AK502" i="1"/>
  <c r="AJ502" i="1"/>
  <c r="AH502" i="1"/>
  <c r="AG502" i="1"/>
  <c r="AF502" i="1"/>
  <c r="AC502" i="1"/>
  <c r="AB502" i="1"/>
  <c r="Z502" i="1"/>
  <c r="J502" i="1"/>
  <c r="BJ500" i="1"/>
  <c r="BF500" i="1"/>
  <c r="BD500" i="1"/>
  <c r="AW500" i="1"/>
  <c r="AP500" i="1"/>
  <c r="BI500" i="1" s="1"/>
  <c r="AE500" i="1" s="1"/>
  <c r="AO500" i="1"/>
  <c r="BH500" i="1" s="1"/>
  <c r="AD500" i="1" s="1"/>
  <c r="AK500" i="1"/>
  <c r="AJ500" i="1"/>
  <c r="AH500" i="1"/>
  <c r="AG500" i="1"/>
  <c r="AF500" i="1"/>
  <c r="AC500" i="1"/>
  <c r="AB500" i="1"/>
  <c r="Z500" i="1"/>
  <c r="J500" i="1"/>
  <c r="AL500" i="1" s="1"/>
  <c r="BJ498" i="1"/>
  <c r="BF498" i="1"/>
  <c r="BD498" i="1"/>
  <c r="AX498" i="1"/>
  <c r="AP498" i="1"/>
  <c r="BI498" i="1" s="1"/>
  <c r="AE498" i="1" s="1"/>
  <c r="AO498" i="1"/>
  <c r="BH498" i="1" s="1"/>
  <c r="AD498" i="1" s="1"/>
  <c r="AK498" i="1"/>
  <c r="AJ498" i="1"/>
  <c r="AH498" i="1"/>
  <c r="AG498" i="1"/>
  <c r="AF498" i="1"/>
  <c r="AC498" i="1"/>
  <c r="AB498" i="1"/>
  <c r="Z498" i="1"/>
  <c r="J498" i="1"/>
  <c r="AL498" i="1" s="1"/>
  <c r="BJ497" i="1"/>
  <c r="BF497" i="1"/>
  <c r="BD497" i="1"/>
  <c r="AP497" i="1"/>
  <c r="BI497" i="1" s="1"/>
  <c r="AE497" i="1" s="1"/>
  <c r="AO497" i="1"/>
  <c r="BH497" i="1" s="1"/>
  <c r="AD497" i="1" s="1"/>
  <c r="AL497" i="1"/>
  <c r="AK497" i="1"/>
  <c r="AJ497" i="1"/>
  <c r="AH497" i="1"/>
  <c r="AG497" i="1"/>
  <c r="AF497" i="1"/>
  <c r="AC497" i="1"/>
  <c r="AB497" i="1"/>
  <c r="Z497" i="1"/>
  <c r="J497" i="1"/>
  <c r="I497" i="1"/>
  <c r="BJ495" i="1"/>
  <c r="BF495" i="1"/>
  <c r="BD495" i="1"/>
  <c r="AW495" i="1"/>
  <c r="AP495" i="1"/>
  <c r="BI495" i="1" s="1"/>
  <c r="AE495" i="1" s="1"/>
  <c r="AO495" i="1"/>
  <c r="H495" i="1" s="1"/>
  <c r="AK495" i="1"/>
  <c r="AJ495" i="1"/>
  <c r="AH495" i="1"/>
  <c r="AG495" i="1"/>
  <c r="AF495" i="1"/>
  <c r="AC495" i="1"/>
  <c r="AB495" i="1"/>
  <c r="Z495" i="1"/>
  <c r="J495" i="1"/>
  <c r="AL495" i="1" s="1"/>
  <c r="BJ493" i="1"/>
  <c r="BF493" i="1"/>
  <c r="BD493" i="1"/>
  <c r="AP493" i="1"/>
  <c r="I493" i="1" s="1"/>
  <c r="AO493" i="1"/>
  <c r="AW493" i="1" s="1"/>
  <c r="AL493" i="1"/>
  <c r="AK493" i="1"/>
  <c r="AJ493" i="1"/>
  <c r="AH493" i="1"/>
  <c r="AG493" i="1"/>
  <c r="AF493" i="1"/>
  <c r="AC493" i="1"/>
  <c r="AB493" i="1"/>
  <c r="Z493" i="1"/>
  <c r="J493" i="1"/>
  <c r="BJ491" i="1"/>
  <c r="BH491" i="1"/>
  <c r="AD491" i="1" s="1"/>
  <c r="BF491" i="1"/>
  <c r="BD491" i="1"/>
  <c r="AP491" i="1"/>
  <c r="AX491" i="1" s="1"/>
  <c r="AO491" i="1"/>
  <c r="AL491" i="1"/>
  <c r="AK491" i="1"/>
  <c r="AJ491" i="1"/>
  <c r="AH491" i="1"/>
  <c r="AG491" i="1"/>
  <c r="AF491" i="1"/>
  <c r="AC491" i="1"/>
  <c r="AB491" i="1"/>
  <c r="Z491" i="1"/>
  <c r="J491" i="1"/>
  <c r="I491" i="1"/>
  <c r="BJ489" i="1"/>
  <c r="BF489" i="1"/>
  <c r="BD489" i="1"/>
  <c r="AP489" i="1"/>
  <c r="BI489" i="1" s="1"/>
  <c r="AE489" i="1" s="1"/>
  <c r="AO489" i="1"/>
  <c r="H489" i="1" s="1"/>
  <c r="AL489" i="1"/>
  <c r="AK489" i="1"/>
  <c r="AJ489" i="1"/>
  <c r="AH489" i="1"/>
  <c r="AG489" i="1"/>
  <c r="AF489" i="1"/>
  <c r="AC489" i="1"/>
  <c r="AB489" i="1"/>
  <c r="Z489" i="1"/>
  <c r="J489" i="1"/>
  <c r="BJ487" i="1"/>
  <c r="BF487" i="1"/>
  <c r="BD487" i="1"/>
  <c r="AX487" i="1"/>
  <c r="AP487" i="1"/>
  <c r="I487" i="1" s="1"/>
  <c r="AO487" i="1"/>
  <c r="BH487" i="1" s="1"/>
  <c r="AD487" i="1" s="1"/>
  <c r="AK487" i="1"/>
  <c r="AJ487" i="1"/>
  <c r="AH487" i="1"/>
  <c r="AG487" i="1"/>
  <c r="AF487" i="1"/>
  <c r="AC487" i="1"/>
  <c r="AB487" i="1"/>
  <c r="Z487" i="1"/>
  <c r="J487" i="1"/>
  <c r="AL487" i="1" s="1"/>
  <c r="H487" i="1"/>
  <c r="BJ485" i="1"/>
  <c r="BF485" i="1"/>
  <c r="BD485" i="1"/>
  <c r="AW485" i="1"/>
  <c r="AP485" i="1"/>
  <c r="BI485" i="1" s="1"/>
  <c r="AE485" i="1" s="1"/>
  <c r="AO485" i="1"/>
  <c r="BH485" i="1" s="1"/>
  <c r="AD485" i="1" s="1"/>
  <c r="AK485" i="1"/>
  <c r="AJ485" i="1"/>
  <c r="AH485" i="1"/>
  <c r="AG485" i="1"/>
  <c r="AF485" i="1"/>
  <c r="AC485" i="1"/>
  <c r="AB485" i="1"/>
  <c r="Z485" i="1"/>
  <c r="J485" i="1"/>
  <c r="AL485" i="1" s="1"/>
  <c r="BJ483" i="1"/>
  <c r="BF483" i="1"/>
  <c r="BD483" i="1"/>
  <c r="AP483" i="1"/>
  <c r="BI483" i="1" s="1"/>
  <c r="AE483" i="1" s="1"/>
  <c r="AO483" i="1"/>
  <c r="BH483" i="1" s="1"/>
  <c r="AD483" i="1" s="1"/>
  <c r="AK483" i="1"/>
  <c r="AJ483" i="1"/>
  <c r="AH483" i="1"/>
  <c r="AG483" i="1"/>
  <c r="AF483" i="1"/>
  <c r="AC483" i="1"/>
  <c r="AB483" i="1"/>
  <c r="Z483" i="1"/>
  <c r="J483" i="1"/>
  <c r="AL483" i="1" s="1"/>
  <c r="BJ481" i="1"/>
  <c r="BF481" i="1"/>
  <c r="BD481" i="1"/>
  <c r="AX481" i="1"/>
  <c r="AP481" i="1"/>
  <c r="BI481" i="1" s="1"/>
  <c r="AE481" i="1" s="1"/>
  <c r="AO481" i="1"/>
  <c r="BH481" i="1" s="1"/>
  <c r="AD481" i="1" s="1"/>
  <c r="AK481" i="1"/>
  <c r="AJ481" i="1"/>
  <c r="AH481" i="1"/>
  <c r="AG481" i="1"/>
  <c r="AF481" i="1"/>
  <c r="AC481" i="1"/>
  <c r="AB481" i="1"/>
  <c r="Z481" i="1"/>
  <c r="J481" i="1"/>
  <c r="AL481" i="1" s="1"/>
  <c r="I481" i="1"/>
  <c r="H481" i="1"/>
  <c r="BJ479" i="1"/>
  <c r="BF479" i="1"/>
  <c r="BD479" i="1"/>
  <c r="AW479" i="1"/>
  <c r="AP479" i="1"/>
  <c r="BI479" i="1" s="1"/>
  <c r="AE479" i="1" s="1"/>
  <c r="AO479" i="1"/>
  <c r="H479" i="1" s="1"/>
  <c r="AK479" i="1"/>
  <c r="AJ479" i="1"/>
  <c r="AH479" i="1"/>
  <c r="AG479" i="1"/>
  <c r="AF479" i="1"/>
  <c r="AC479" i="1"/>
  <c r="AB479" i="1"/>
  <c r="Z479" i="1"/>
  <c r="J479" i="1"/>
  <c r="AL479" i="1" s="1"/>
  <c r="BJ477" i="1"/>
  <c r="BF477" i="1"/>
  <c r="BD477" i="1"/>
  <c r="AX477" i="1"/>
  <c r="AP477" i="1"/>
  <c r="I477" i="1" s="1"/>
  <c r="AO477" i="1"/>
  <c r="AW477" i="1" s="1"/>
  <c r="AL477" i="1"/>
  <c r="AK477" i="1"/>
  <c r="AJ477" i="1"/>
  <c r="AH477" i="1"/>
  <c r="AG477" i="1"/>
  <c r="AF477" i="1"/>
  <c r="AC477" i="1"/>
  <c r="AB477" i="1"/>
  <c r="Z477" i="1"/>
  <c r="J477" i="1"/>
  <c r="H477" i="1"/>
  <c r="BJ475" i="1"/>
  <c r="BF475" i="1"/>
  <c r="BD475" i="1"/>
  <c r="AP475" i="1"/>
  <c r="AX475" i="1" s="1"/>
  <c r="AO475" i="1"/>
  <c r="BH475" i="1" s="1"/>
  <c r="AD475" i="1" s="1"/>
  <c r="AL475" i="1"/>
  <c r="AK475" i="1"/>
  <c r="AJ475" i="1"/>
  <c r="AH475" i="1"/>
  <c r="AG475" i="1"/>
  <c r="AF475" i="1"/>
  <c r="AC475" i="1"/>
  <c r="AB475" i="1"/>
  <c r="Z475" i="1"/>
  <c r="J475" i="1"/>
  <c r="I475" i="1"/>
  <c r="BJ473" i="1"/>
  <c r="BI473" i="1"/>
  <c r="AE473" i="1" s="1"/>
  <c r="BF473" i="1"/>
  <c r="BD473" i="1"/>
  <c r="AW473" i="1"/>
  <c r="AP473" i="1"/>
  <c r="AO473" i="1"/>
  <c r="H473" i="1" s="1"/>
  <c r="AL473" i="1"/>
  <c r="AK473" i="1"/>
  <c r="AJ473" i="1"/>
  <c r="AH473" i="1"/>
  <c r="AG473" i="1"/>
  <c r="AF473" i="1"/>
  <c r="AC473" i="1"/>
  <c r="AB473" i="1"/>
  <c r="Z473" i="1"/>
  <c r="J473" i="1"/>
  <c r="BJ471" i="1"/>
  <c r="BF471" i="1"/>
  <c r="BD471" i="1"/>
  <c r="AP471" i="1"/>
  <c r="I471" i="1" s="1"/>
  <c r="AO471" i="1"/>
  <c r="BH471" i="1" s="1"/>
  <c r="AD471" i="1" s="1"/>
  <c r="AL471" i="1"/>
  <c r="AK471" i="1"/>
  <c r="AJ471" i="1"/>
  <c r="AH471" i="1"/>
  <c r="AG471" i="1"/>
  <c r="AF471" i="1"/>
  <c r="AC471" i="1"/>
  <c r="AB471" i="1"/>
  <c r="Z471" i="1"/>
  <c r="J471" i="1"/>
  <c r="BJ469" i="1"/>
  <c r="BF469" i="1"/>
  <c r="BD469" i="1"/>
  <c r="AW469" i="1"/>
  <c r="AP469" i="1"/>
  <c r="BI469" i="1" s="1"/>
  <c r="AO469" i="1"/>
  <c r="H469" i="1" s="1"/>
  <c r="AL469" i="1"/>
  <c r="AK469" i="1"/>
  <c r="AJ469" i="1"/>
  <c r="AH469" i="1"/>
  <c r="AG469" i="1"/>
  <c r="AF469" i="1"/>
  <c r="AE469" i="1"/>
  <c r="AD469" i="1"/>
  <c r="AC469" i="1"/>
  <c r="AB469" i="1"/>
  <c r="Z469" i="1"/>
  <c r="J469" i="1"/>
  <c r="BJ466" i="1"/>
  <c r="BF466" i="1"/>
  <c r="BD466" i="1"/>
  <c r="AX466" i="1"/>
  <c r="AP466" i="1"/>
  <c r="I466" i="1" s="1"/>
  <c r="AO466" i="1"/>
  <c r="BH466" i="1" s="1"/>
  <c r="AD466" i="1" s="1"/>
  <c r="AL466" i="1"/>
  <c r="AU465" i="1" s="1"/>
  <c r="AK466" i="1"/>
  <c r="AT465" i="1" s="1"/>
  <c r="AJ466" i="1"/>
  <c r="AS465" i="1" s="1"/>
  <c r="AH466" i="1"/>
  <c r="AG466" i="1"/>
  <c r="AF466" i="1"/>
  <c r="AC466" i="1"/>
  <c r="AB466" i="1"/>
  <c r="Z466" i="1"/>
  <c r="J466" i="1"/>
  <c r="J465" i="1" s="1"/>
  <c r="G43" i="2" s="1"/>
  <c r="I43" i="2" s="1"/>
  <c r="BJ464" i="1"/>
  <c r="Z464" i="1" s="1"/>
  <c r="BI464" i="1"/>
  <c r="BF464" i="1"/>
  <c r="BD464" i="1"/>
  <c r="AW464" i="1"/>
  <c r="AP464" i="1"/>
  <c r="AO464" i="1"/>
  <c r="H464" i="1" s="1"/>
  <c r="AK464" i="1"/>
  <c r="AJ464" i="1"/>
  <c r="AH464" i="1"/>
  <c r="AG464" i="1"/>
  <c r="AF464" i="1"/>
  <c r="AE464" i="1"/>
  <c r="AD464" i="1"/>
  <c r="AC464" i="1"/>
  <c r="AB464" i="1"/>
  <c r="J464" i="1"/>
  <c r="AL464" i="1" s="1"/>
  <c r="BJ461" i="1"/>
  <c r="BF461" i="1"/>
  <c r="BD461" i="1"/>
  <c r="AP461" i="1"/>
  <c r="I461" i="1" s="1"/>
  <c r="AO461" i="1"/>
  <c r="BH461" i="1" s="1"/>
  <c r="AD461" i="1" s="1"/>
  <c r="AL461" i="1"/>
  <c r="AK461" i="1"/>
  <c r="AJ461" i="1"/>
  <c r="AH461" i="1"/>
  <c r="AG461" i="1"/>
  <c r="AF461" i="1"/>
  <c r="AC461" i="1"/>
  <c r="AB461" i="1"/>
  <c r="Z461" i="1"/>
  <c r="J461" i="1"/>
  <c r="BJ458" i="1"/>
  <c r="BF458" i="1"/>
  <c r="BD458" i="1"/>
  <c r="AW458" i="1"/>
  <c r="AP458" i="1"/>
  <c r="BI458" i="1" s="1"/>
  <c r="AE458" i="1" s="1"/>
  <c r="AO458" i="1"/>
  <c r="BH458" i="1" s="1"/>
  <c r="AD458" i="1" s="1"/>
  <c r="AK458" i="1"/>
  <c r="AJ458" i="1"/>
  <c r="AH458" i="1"/>
  <c r="AG458" i="1"/>
  <c r="AF458" i="1"/>
  <c r="AC458" i="1"/>
  <c r="AB458" i="1"/>
  <c r="Z458" i="1"/>
  <c r="J458" i="1"/>
  <c r="AL458" i="1" s="1"/>
  <c r="I458" i="1"/>
  <c r="BJ451" i="1"/>
  <c r="BF451" i="1"/>
  <c r="BD451" i="1"/>
  <c r="AP451" i="1"/>
  <c r="BI451" i="1" s="1"/>
  <c r="AE451" i="1" s="1"/>
  <c r="AO451" i="1"/>
  <c r="BH451" i="1" s="1"/>
  <c r="AD451" i="1" s="1"/>
  <c r="AK451" i="1"/>
  <c r="AJ451" i="1"/>
  <c r="AH451" i="1"/>
  <c r="AG451" i="1"/>
  <c r="AF451" i="1"/>
  <c r="AC451" i="1"/>
  <c r="AB451" i="1"/>
  <c r="Z451" i="1"/>
  <c r="J451" i="1"/>
  <c r="BJ445" i="1"/>
  <c r="BF445" i="1"/>
  <c r="BD445" i="1"/>
  <c r="AX445" i="1"/>
  <c r="BC445" i="1" s="1"/>
  <c r="AW445" i="1"/>
  <c r="AP445" i="1"/>
  <c r="BI445" i="1" s="1"/>
  <c r="AE445" i="1" s="1"/>
  <c r="AO445" i="1"/>
  <c r="BH445" i="1" s="1"/>
  <c r="AD445" i="1" s="1"/>
  <c r="AK445" i="1"/>
  <c r="AJ445" i="1"/>
  <c r="AH445" i="1"/>
  <c r="AG445" i="1"/>
  <c r="AF445" i="1"/>
  <c r="AC445" i="1"/>
  <c r="AB445" i="1"/>
  <c r="Z445" i="1"/>
  <c r="J445" i="1"/>
  <c r="AL445" i="1" s="1"/>
  <c r="I445" i="1"/>
  <c r="H445" i="1"/>
  <c r="BJ443" i="1"/>
  <c r="BF443" i="1"/>
  <c r="BD443" i="1"/>
  <c r="AP443" i="1"/>
  <c r="BI443" i="1" s="1"/>
  <c r="AE443" i="1" s="1"/>
  <c r="AO443" i="1"/>
  <c r="H443" i="1" s="1"/>
  <c r="AK443" i="1"/>
  <c r="AJ443" i="1"/>
  <c r="AH443" i="1"/>
  <c r="AG443" i="1"/>
  <c r="AF443" i="1"/>
  <c r="AC443" i="1"/>
  <c r="AB443" i="1"/>
  <c r="Z443" i="1"/>
  <c r="J443" i="1"/>
  <c r="AL443" i="1" s="1"/>
  <c r="BJ440" i="1"/>
  <c r="BF440" i="1"/>
  <c r="BD440" i="1"/>
  <c r="AX440" i="1"/>
  <c r="AP440" i="1"/>
  <c r="I440" i="1" s="1"/>
  <c r="AO440" i="1"/>
  <c r="AW440" i="1" s="1"/>
  <c r="AK440" i="1"/>
  <c r="AJ440" i="1"/>
  <c r="AH440" i="1"/>
  <c r="AG440" i="1"/>
  <c r="AF440" i="1"/>
  <c r="AC440" i="1"/>
  <c r="AB440" i="1"/>
  <c r="Z440" i="1"/>
  <c r="J440" i="1"/>
  <c r="AL440" i="1" s="1"/>
  <c r="H440" i="1"/>
  <c r="BJ438" i="1"/>
  <c r="BH438" i="1"/>
  <c r="BF438" i="1"/>
  <c r="BD438" i="1"/>
  <c r="AP438" i="1"/>
  <c r="AX438" i="1" s="1"/>
  <c r="AO438" i="1"/>
  <c r="AL438" i="1"/>
  <c r="AK438" i="1"/>
  <c r="AT437" i="1" s="1"/>
  <c r="AJ438" i="1"/>
  <c r="AH438" i="1"/>
  <c r="AG438" i="1"/>
  <c r="AF438" i="1"/>
  <c r="AD438" i="1"/>
  <c r="AC438" i="1"/>
  <c r="AB438" i="1"/>
  <c r="Z438" i="1"/>
  <c r="J438" i="1"/>
  <c r="BJ436" i="1"/>
  <c r="BF436" i="1"/>
  <c r="BD436" i="1"/>
  <c r="AX436" i="1"/>
  <c r="AP436" i="1"/>
  <c r="I436" i="1" s="1"/>
  <c r="AO436" i="1"/>
  <c r="AW436" i="1" s="1"/>
  <c r="AK436" i="1"/>
  <c r="AJ436" i="1"/>
  <c r="AH436" i="1"/>
  <c r="AG436" i="1"/>
  <c r="AF436" i="1"/>
  <c r="AE436" i="1"/>
  <c r="AD436" i="1"/>
  <c r="AC436" i="1"/>
  <c r="AB436" i="1"/>
  <c r="Z436" i="1"/>
  <c r="J436" i="1"/>
  <c r="AL436" i="1" s="1"/>
  <c r="H436" i="1"/>
  <c r="BJ433" i="1"/>
  <c r="BF433" i="1"/>
  <c r="BD433" i="1"/>
  <c r="AP433" i="1"/>
  <c r="AX433" i="1" s="1"/>
  <c r="AO433" i="1"/>
  <c r="BH433" i="1" s="1"/>
  <c r="AD433" i="1" s="1"/>
  <c r="AL433" i="1"/>
  <c r="AK433" i="1"/>
  <c r="AJ433" i="1"/>
  <c r="AH433" i="1"/>
  <c r="AG433" i="1"/>
  <c r="AF433" i="1"/>
  <c r="AC433" i="1"/>
  <c r="AB433" i="1"/>
  <c r="Z433" i="1"/>
  <c r="J433" i="1"/>
  <c r="I433" i="1"/>
  <c r="BJ430" i="1"/>
  <c r="BI430" i="1"/>
  <c r="AE430" i="1" s="1"/>
  <c r="BF430" i="1"/>
  <c r="BD430" i="1"/>
  <c r="AW430" i="1"/>
  <c r="AP430" i="1"/>
  <c r="AO430" i="1"/>
  <c r="H430" i="1" s="1"/>
  <c r="AK430" i="1"/>
  <c r="AJ430" i="1"/>
  <c r="AH430" i="1"/>
  <c r="AG430" i="1"/>
  <c r="AF430" i="1"/>
  <c r="AC430" i="1"/>
  <c r="AB430" i="1"/>
  <c r="Z430" i="1"/>
  <c r="J430" i="1"/>
  <c r="AL430" i="1" s="1"/>
  <c r="BJ428" i="1"/>
  <c r="BF428" i="1"/>
  <c r="BD428" i="1"/>
  <c r="AX428" i="1"/>
  <c r="AP428" i="1"/>
  <c r="I428" i="1" s="1"/>
  <c r="AO428" i="1"/>
  <c r="BH428" i="1" s="1"/>
  <c r="AD428" i="1" s="1"/>
  <c r="AL428" i="1"/>
  <c r="AK428" i="1"/>
  <c r="AJ428" i="1"/>
  <c r="AH428" i="1"/>
  <c r="AG428" i="1"/>
  <c r="AF428" i="1"/>
  <c r="AC428" i="1"/>
  <c r="AB428" i="1"/>
  <c r="Z428" i="1"/>
  <c r="J428" i="1"/>
  <c r="BJ424" i="1"/>
  <c r="BF424" i="1"/>
  <c r="BD424" i="1"/>
  <c r="AW424" i="1"/>
  <c r="AP424" i="1"/>
  <c r="BI424" i="1" s="1"/>
  <c r="AE424" i="1" s="1"/>
  <c r="AO424" i="1"/>
  <c r="BH424" i="1" s="1"/>
  <c r="AD424" i="1" s="1"/>
  <c r="AK424" i="1"/>
  <c r="AJ424" i="1"/>
  <c r="AH424" i="1"/>
  <c r="AG424" i="1"/>
  <c r="AF424" i="1"/>
  <c r="AC424" i="1"/>
  <c r="AB424" i="1"/>
  <c r="Z424" i="1"/>
  <c r="J424" i="1"/>
  <c r="AL424" i="1" s="1"/>
  <c r="BJ422" i="1"/>
  <c r="BF422" i="1"/>
  <c r="BD422" i="1"/>
  <c r="AX422" i="1"/>
  <c r="AP422" i="1"/>
  <c r="BI422" i="1" s="1"/>
  <c r="AE422" i="1" s="1"/>
  <c r="AO422" i="1"/>
  <c r="BH422" i="1" s="1"/>
  <c r="AD422" i="1" s="1"/>
  <c r="AK422" i="1"/>
  <c r="AJ422" i="1"/>
  <c r="AH422" i="1"/>
  <c r="AG422" i="1"/>
  <c r="AF422" i="1"/>
  <c r="AC422" i="1"/>
  <c r="AB422" i="1"/>
  <c r="Z422" i="1"/>
  <c r="J422" i="1"/>
  <c r="BJ421" i="1"/>
  <c r="BF421" i="1"/>
  <c r="BD421" i="1"/>
  <c r="AP421" i="1"/>
  <c r="BI421" i="1" s="1"/>
  <c r="AE421" i="1" s="1"/>
  <c r="AO421" i="1"/>
  <c r="BH421" i="1" s="1"/>
  <c r="AD421" i="1" s="1"/>
  <c r="AL421" i="1"/>
  <c r="AK421" i="1"/>
  <c r="AJ421" i="1"/>
  <c r="AH421" i="1"/>
  <c r="AG421" i="1"/>
  <c r="AF421" i="1"/>
  <c r="AC421" i="1"/>
  <c r="AB421" i="1"/>
  <c r="Z421" i="1"/>
  <c r="J421" i="1"/>
  <c r="I421" i="1"/>
  <c r="H421" i="1"/>
  <c r="BJ419" i="1"/>
  <c r="BF419" i="1"/>
  <c r="BD419" i="1"/>
  <c r="AW419" i="1"/>
  <c r="AP419" i="1"/>
  <c r="BI419" i="1" s="1"/>
  <c r="AE419" i="1" s="1"/>
  <c r="AO419" i="1"/>
  <c r="H419" i="1" s="1"/>
  <c r="AK419" i="1"/>
  <c r="AJ419" i="1"/>
  <c r="AH419" i="1"/>
  <c r="AG419" i="1"/>
  <c r="AF419" i="1"/>
  <c r="AC419" i="1"/>
  <c r="AB419" i="1"/>
  <c r="Z419" i="1"/>
  <c r="J419" i="1"/>
  <c r="AL419" i="1" s="1"/>
  <c r="BJ415" i="1"/>
  <c r="BF415" i="1"/>
  <c r="BD415" i="1"/>
  <c r="AX415" i="1"/>
  <c r="AP415" i="1"/>
  <c r="I415" i="1" s="1"/>
  <c r="AO415" i="1"/>
  <c r="AW415" i="1" s="1"/>
  <c r="AL415" i="1"/>
  <c r="AK415" i="1"/>
  <c r="AJ415" i="1"/>
  <c r="AH415" i="1"/>
  <c r="AG415" i="1"/>
  <c r="AF415" i="1"/>
  <c r="AC415" i="1"/>
  <c r="AB415" i="1"/>
  <c r="Z415" i="1"/>
  <c r="J415" i="1"/>
  <c r="BJ412" i="1"/>
  <c r="BH412" i="1"/>
  <c r="AD412" i="1" s="1"/>
  <c r="BF412" i="1"/>
  <c r="BD412" i="1"/>
  <c r="AP412" i="1"/>
  <c r="AX412" i="1" s="1"/>
  <c r="AO412" i="1"/>
  <c r="AK412" i="1"/>
  <c r="AJ412" i="1"/>
  <c r="AH412" i="1"/>
  <c r="AG412" i="1"/>
  <c r="AF412" i="1"/>
  <c r="AC412" i="1"/>
  <c r="AB412" i="1"/>
  <c r="Z412" i="1"/>
  <c r="J412" i="1"/>
  <c r="AL412" i="1" s="1"/>
  <c r="I412" i="1"/>
  <c r="BJ409" i="1"/>
  <c r="BF409" i="1"/>
  <c r="BD409" i="1"/>
  <c r="AP409" i="1"/>
  <c r="I409" i="1" s="1"/>
  <c r="I408" i="1" s="1"/>
  <c r="F40" i="2" s="1"/>
  <c r="AO409" i="1"/>
  <c r="AW409" i="1" s="1"/>
  <c r="AL409" i="1"/>
  <c r="AU408" i="1" s="1"/>
  <c r="AK409" i="1"/>
  <c r="AT408" i="1" s="1"/>
  <c r="AJ409" i="1"/>
  <c r="AS408" i="1" s="1"/>
  <c r="AH409" i="1"/>
  <c r="AG409" i="1"/>
  <c r="AF409" i="1"/>
  <c r="AE409" i="1"/>
  <c r="AD409" i="1"/>
  <c r="Z409" i="1"/>
  <c r="J409" i="1"/>
  <c r="J408" i="1" s="1"/>
  <c r="G40" i="2" s="1"/>
  <c r="I40" i="2" s="1"/>
  <c r="H409" i="1"/>
  <c r="H408" i="1"/>
  <c r="E40" i="2" s="1"/>
  <c r="BJ406" i="1"/>
  <c r="BF406" i="1"/>
  <c r="BD406" i="1"/>
  <c r="AP406" i="1"/>
  <c r="BI406" i="1" s="1"/>
  <c r="AC406" i="1" s="1"/>
  <c r="AO406" i="1"/>
  <c r="H406" i="1" s="1"/>
  <c r="AK406" i="1"/>
  <c r="AJ406" i="1"/>
  <c r="AH406" i="1"/>
  <c r="AG406" i="1"/>
  <c r="AF406" i="1"/>
  <c r="AE406" i="1"/>
  <c r="AD406" i="1"/>
  <c r="Z406" i="1"/>
  <c r="J406" i="1"/>
  <c r="AL406" i="1" s="1"/>
  <c r="I406" i="1"/>
  <c r="BJ405" i="1"/>
  <c r="BF405" i="1"/>
  <c r="BD405" i="1"/>
  <c r="AX405" i="1"/>
  <c r="AP405" i="1"/>
  <c r="I405" i="1" s="1"/>
  <c r="I402" i="1" s="1"/>
  <c r="F39" i="2" s="1"/>
  <c r="AO405" i="1"/>
  <c r="AW405" i="1" s="1"/>
  <c r="AL405" i="1"/>
  <c r="AK405" i="1"/>
  <c r="AJ405" i="1"/>
  <c r="AH405" i="1"/>
  <c r="AG405" i="1"/>
  <c r="AF405" i="1"/>
  <c r="AE405" i="1"/>
  <c r="AD405" i="1"/>
  <c r="Z405" i="1"/>
  <c r="J405" i="1"/>
  <c r="H405" i="1"/>
  <c r="BJ403" i="1"/>
  <c r="BH403" i="1"/>
  <c r="AB403" i="1" s="1"/>
  <c r="BF403" i="1"/>
  <c r="BD403" i="1"/>
  <c r="AP403" i="1"/>
  <c r="AX403" i="1" s="1"/>
  <c r="AO403" i="1"/>
  <c r="AK403" i="1"/>
  <c r="AT402" i="1" s="1"/>
  <c r="AJ403" i="1"/>
  <c r="AH403" i="1"/>
  <c r="AG403" i="1"/>
  <c r="AF403" i="1"/>
  <c r="AE403" i="1"/>
  <c r="AD403" i="1"/>
  <c r="Z403" i="1"/>
  <c r="J403" i="1"/>
  <c r="AL403" i="1" s="1"/>
  <c r="I403" i="1"/>
  <c r="BJ400" i="1"/>
  <c r="BF400" i="1"/>
  <c r="BD400" i="1"/>
  <c r="AX400" i="1"/>
  <c r="AP400" i="1"/>
  <c r="I400" i="1" s="1"/>
  <c r="AO400" i="1"/>
  <c r="AW400" i="1" s="1"/>
  <c r="AL400" i="1"/>
  <c r="AK400" i="1"/>
  <c r="AJ400" i="1"/>
  <c r="AH400" i="1"/>
  <c r="AG400" i="1"/>
  <c r="AF400" i="1"/>
  <c r="AE400" i="1"/>
  <c r="AD400" i="1"/>
  <c r="Z400" i="1"/>
  <c r="J400" i="1"/>
  <c r="H400" i="1"/>
  <c r="BJ398" i="1"/>
  <c r="BH398" i="1"/>
  <c r="AB398" i="1" s="1"/>
  <c r="BF398" i="1"/>
  <c r="BD398" i="1"/>
  <c r="AP398" i="1"/>
  <c r="AX398" i="1" s="1"/>
  <c r="AO398" i="1"/>
  <c r="AK398" i="1"/>
  <c r="AJ398" i="1"/>
  <c r="AH398" i="1"/>
  <c r="AG398" i="1"/>
  <c r="AF398" i="1"/>
  <c r="AE398" i="1"/>
  <c r="AD398" i="1"/>
  <c r="Z398" i="1"/>
  <c r="J398" i="1"/>
  <c r="AL398" i="1" s="1"/>
  <c r="I398" i="1"/>
  <c r="BJ393" i="1"/>
  <c r="BF393" i="1"/>
  <c r="BD393" i="1"/>
  <c r="AP393" i="1"/>
  <c r="BI393" i="1" s="1"/>
  <c r="AC393" i="1" s="1"/>
  <c r="AO393" i="1"/>
  <c r="H393" i="1" s="1"/>
  <c r="AL393" i="1"/>
  <c r="AK393" i="1"/>
  <c r="AJ393" i="1"/>
  <c r="AS392" i="1" s="1"/>
  <c r="AH393" i="1"/>
  <c r="AG393" i="1"/>
  <c r="AF393" i="1"/>
  <c r="AE393" i="1"/>
  <c r="AD393" i="1"/>
  <c r="Z393" i="1"/>
  <c r="J393" i="1"/>
  <c r="BJ387" i="1"/>
  <c r="BF387" i="1"/>
  <c r="BD387" i="1"/>
  <c r="AP387" i="1"/>
  <c r="AX387" i="1" s="1"/>
  <c r="AO387" i="1"/>
  <c r="AK387" i="1"/>
  <c r="AJ387" i="1"/>
  <c r="AH387" i="1"/>
  <c r="AG387" i="1"/>
  <c r="AF387" i="1"/>
  <c r="AE387" i="1"/>
  <c r="AD387" i="1"/>
  <c r="Z387" i="1"/>
  <c r="J387" i="1"/>
  <c r="AL387" i="1" s="1"/>
  <c r="I387" i="1"/>
  <c r="BJ377" i="1"/>
  <c r="BI377" i="1"/>
  <c r="AC377" i="1" s="1"/>
  <c r="BF377" i="1"/>
  <c r="BD377" i="1"/>
  <c r="AP377" i="1"/>
  <c r="AO377" i="1"/>
  <c r="H377" i="1" s="1"/>
  <c r="AL377" i="1"/>
  <c r="AK377" i="1"/>
  <c r="AJ377" i="1"/>
  <c r="AS366" i="1" s="1"/>
  <c r="AH377" i="1"/>
  <c r="AG377" i="1"/>
  <c r="AF377" i="1"/>
  <c r="AE377" i="1"/>
  <c r="AD377" i="1"/>
  <c r="Z377" i="1"/>
  <c r="J377" i="1"/>
  <c r="BJ367" i="1"/>
  <c r="BF367" i="1"/>
  <c r="BD367" i="1"/>
  <c r="AP367" i="1"/>
  <c r="I367" i="1" s="1"/>
  <c r="AO367" i="1"/>
  <c r="BH367" i="1" s="1"/>
  <c r="AB367" i="1" s="1"/>
  <c r="AL367" i="1"/>
  <c r="AK367" i="1"/>
  <c r="AJ367" i="1"/>
  <c r="AH367" i="1"/>
  <c r="AG367" i="1"/>
  <c r="AF367" i="1"/>
  <c r="AE367" i="1"/>
  <c r="AD367" i="1"/>
  <c r="Z367" i="1"/>
  <c r="J367" i="1"/>
  <c r="AT366" i="1"/>
  <c r="BJ363" i="1"/>
  <c r="BI363" i="1"/>
  <c r="AC363" i="1" s="1"/>
  <c r="BF363" i="1"/>
  <c r="BD363" i="1"/>
  <c r="AP363" i="1"/>
  <c r="AO363" i="1"/>
  <c r="H363" i="1" s="1"/>
  <c r="AL363" i="1"/>
  <c r="AK363" i="1"/>
  <c r="AJ363" i="1"/>
  <c r="AS359" i="1" s="1"/>
  <c r="AH363" i="1"/>
  <c r="AG363" i="1"/>
  <c r="AF363" i="1"/>
  <c r="AE363" i="1"/>
  <c r="AD363" i="1"/>
  <c r="Z363" i="1"/>
  <c r="J363" i="1"/>
  <c r="BJ360" i="1"/>
  <c r="BF360" i="1"/>
  <c r="BD360" i="1"/>
  <c r="AP360" i="1"/>
  <c r="I360" i="1" s="1"/>
  <c r="AO360" i="1"/>
  <c r="BH360" i="1" s="1"/>
  <c r="AB360" i="1" s="1"/>
  <c r="AL360" i="1"/>
  <c r="AU359" i="1" s="1"/>
  <c r="AK360" i="1"/>
  <c r="AJ360" i="1"/>
  <c r="AH360" i="1"/>
  <c r="AG360" i="1"/>
  <c r="AF360" i="1"/>
  <c r="AE360" i="1"/>
  <c r="AD360" i="1"/>
  <c r="Z360" i="1"/>
  <c r="J360" i="1"/>
  <c r="J359" i="1" s="1"/>
  <c r="G36" i="2" s="1"/>
  <c r="I36" i="2" s="1"/>
  <c r="AT359" i="1"/>
  <c r="BJ357" i="1"/>
  <c r="BI357" i="1"/>
  <c r="AC357" i="1" s="1"/>
  <c r="BF357" i="1"/>
  <c r="BD357" i="1"/>
  <c r="AP357" i="1"/>
  <c r="AO357" i="1"/>
  <c r="H357" i="1" s="1"/>
  <c r="AL357" i="1"/>
  <c r="AK357" i="1"/>
  <c r="AJ357" i="1"/>
  <c r="AH357" i="1"/>
  <c r="AG357" i="1"/>
  <c r="AF357" i="1"/>
  <c r="AE357" i="1"/>
  <c r="AD357" i="1"/>
  <c r="Z357" i="1"/>
  <c r="J357" i="1"/>
  <c r="BJ355" i="1"/>
  <c r="BF355" i="1"/>
  <c r="BD355" i="1"/>
  <c r="AP355" i="1"/>
  <c r="I355" i="1" s="1"/>
  <c r="AO355" i="1"/>
  <c r="BH355" i="1" s="1"/>
  <c r="AB355" i="1" s="1"/>
  <c r="AL355" i="1"/>
  <c r="AK355" i="1"/>
  <c r="AJ355" i="1"/>
  <c r="AH355" i="1"/>
  <c r="AG355" i="1"/>
  <c r="AF355" i="1"/>
  <c r="AE355" i="1"/>
  <c r="AD355" i="1"/>
  <c r="Z355" i="1"/>
  <c r="J355" i="1"/>
  <c r="BJ353" i="1"/>
  <c r="BF353" i="1"/>
  <c r="BD353" i="1"/>
  <c r="AW353" i="1"/>
  <c r="AP353" i="1"/>
  <c r="BI353" i="1" s="1"/>
  <c r="AC353" i="1" s="1"/>
  <c r="AO353" i="1"/>
  <c r="BH353" i="1" s="1"/>
  <c r="AB353" i="1" s="1"/>
  <c r="AK353" i="1"/>
  <c r="AJ353" i="1"/>
  <c r="AH353" i="1"/>
  <c r="AG353" i="1"/>
  <c r="AF353" i="1"/>
  <c r="AE353" i="1"/>
  <c r="AD353" i="1"/>
  <c r="Z353" i="1"/>
  <c r="J353" i="1"/>
  <c r="AL353" i="1" s="1"/>
  <c r="I353" i="1"/>
  <c r="BJ351" i="1"/>
  <c r="BF351" i="1"/>
  <c r="BD351" i="1"/>
  <c r="AX351" i="1"/>
  <c r="AP351" i="1"/>
  <c r="BI351" i="1" s="1"/>
  <c r="AC351" i="1" s="1"/>
  <c r="AO351" i="1"/>
  <c r="BH351" i="1" s="1"/>
  <c r="AB351" i="1" s="1"/>
  <c r="AK351" i="1"/>
  <c r="AJ351" i="1"/>
  <c r="AH351" i="1"/>
  <c r="AG351" i="1"/>
  <c r="AF351" i="1"/>
  <c r="AE351" i="1"/>
  <c r="AD351" i="1"/>
  <c r="Z351" i="1"/>
  <c r="J351" i="1"/>
  <c r="AL351" i="1" s="1"/>
  <c r="BJ349" i="1"/>
  <c r="BF349" i="1"/>
  <c r="BD349" i="1"/>
  <c r="AW349" i="1"/>
  <c r="AP349" i="1"/>
  <c r="BI349" i="1" s="1"/>
  <c r="AC349" i="1" s="1"/>
  <c r="AO349" i="1"/>
  <c r="BH349" i="1" s="1"/>
  <c r="AB349" i="1" s="1"/>
  <c r="AK349" i="1"/>
  <c r="AJ349" i="1"/>
  <c r="AH349" i="1"/>
  <c r="AG349" i="1"/>
  <c r="AF349" i="1"/>
  <c r="AE349" i="1"/>
  <c r="AD349" i="1"/>
  <c r="Z349" i="1"/>
  <c r="J349" i="1"/>
  <c r="AL349" i="1" s="1"/>
  <c r="I349" i="1"/>
  <c r="H349" i="1"/>
  <c r="BJ347" i="1"/>
  <c r="BF347" i="1"/>
  <c r="BD347" i="1"/>
  <c r="AP347" i="1"/>
  <c r="BI347" i="1" s="1"/>
  <c r="AC347" i="1" s="1"/>
  <c r="AO347" i="1"/>
  <c r="H347" i="1" s="1"/>
  <c r="AK347" i="1"/>
  <c r="AJ347" i="1"/>
  <c r="AH347" i="1"/>
  <c r="AG347" i="1"/>
  <c r="AF347" i="1"/>
  <c r="AE347" i="1"/>
  <c r="AD347" i="1"/>
  <c r="Z347" i="1"/>
  <c r="J347" i="1"/>
  <c r="AL347" i="1" s="1"/>
  <c r="BJ345" i="1"/>
  <c r="BF345" i="1"/>
  <c r="BD345" i="1"/>
  <c r="AP345" i="1"/>
  <c r="I345" i="1" s="1"/>
  <c r="AO345" i="1"/>
  <c r="AW345" i="1" s="1"/>
  <c r="AL345" i="1"/>
  <c r="AK345" i="1"/>
  <c r="AJ345" i="1"/>
  <c r="AH345" i="1"/>
  <c r="AG345" i="1"/>
  <c r="AF345" i="1"/>
  <c r="AE345" i="1"/>
  <c r="AD345" i="1"/>
  <c r="Z345" i="1"/>
  <c r="J345" i="1"/>
  <c r="BJ343" i="1"/>
  <c r="BF343" i="1"/>
  <c r="BD343" i="1"/>
  <c r="AW343" i="1"/>
  <c r="AP343" i="1"/>
  <c r="BI343" i="1" s="1"/>
  <c r="AC343" i="1" s="1"/>
  <c r="AO343" i="1"/>
  <c r="H343" i="1" s="1"/>
  <c r="AK343" i="1"/>
  <c r="AJ343" i="1"/>
  <c r="AH343" i="1"/>
  <c r="AG343" i="1"/>
  <c r="AF343" i="1"/>
  <c r="AE343" i="1"/>
  <c r="AD343" i="1"/>
  <c r="Z343" i="1"/>
  <c r="J343" i="1"/>
  <c r="AL343" i="1" s="1"/>
  <c r="I343" i="1"/>
  <c r="BJ341" i="1"/>
  <c r="BF341" i="1"/>
  <c r="BD341" i="1"/>
  <c r="AX341" i="1"/>
  <c r="AP341" i="1"/>
  <c r="I341" i="1" s="1"/>
  <c r="AO341" i="1"/>
  <c r="AW341" i="1" s="1"/>
  <c r="AK341" i="1"/>
  <c r="AJ341" i="1"/>
  <c r="AH341" i="1"/>
  <c r="AG341" i="1"/>
  <c r="AF341" i="1"/>
  <c r="AE341" i="1"/>
  <c r="AD341" i="1"/>
  <c r="Z341" i="1"/>
  <c r="J341" i="1"/>
  <c r="AL341" i="1" s="1"/>
  <c r="H341" i="1"/>
  <c r="BJ340" i="1"/>
  <c r="BF340" i="1"/>
  <c r="BD340" i="1"/>
  <c r="AP340" i="1"/>
  <c r="AX340" i="1" s="1"/>
  <c r="AO340" i="1"/>
  <c r="BH340" i="1" s="1"/>
  <c r="AB340" i="1" s="1"/>
  <c r="AK340" i="1"/>
  <c r="AJ340" i="1"/>
  <c r="AH340" i="1"/>
  <c r="AG340" i="1"/>
  <c r="AF340" i="1"/>
  <c r="AE340" i="1"/>
  <c r="AD340" i="1"/>
  <c r="Z340" i="1"/>
  <c r="J340" i="1"/>
  <c r="AL340" i="1" s="1"/>
  <c r="I340" i="1"/>
  <c r="BJ338" i="1"/>
  <c r="BF338" i="1"/>
  <c r="BD338" i="1"/>
  <c r="AP338" i="1"/>
  <c r="BI338" i="1" s="1"/>
  <c r="AC338" i="1" s="1"/>
  <c r="AO338" i="1"/>
  <c r="H338" i="1" s="1"/>
  <c r="AL338" i="1"/>
  <c r="AK338" i="1"/>
  <c r="AJ338" i="1"/>
  <c r="AH338" i="1"/>
  <c r="AG338" i="1"/>
  <c r="AF338" i="1"/>
  <c r="AE338" i="1"/>
  <c r="AD338" i="1"/>
  <c r="Z338" i="1"/>
  <c r="J338" i="1"/>
  <c r="BJ323" i="1"/>
  <c r="BF323" i="1"/>
  <c r="BD323" i="1"/>
  <c r="AP323" i="1"/>
  <c r="I323" i="1" s="1"/>
  <c r="AO323" i="1"/>
  <c r="BH323" i="1" s="1"/>
  <c r="AB323" i="1" s="1"/>
  <c r="AL323" i="1"/>
  <c r="AK323" i="1"/>
  <c r="AJ323" i="1"/>
  <c r="AH323" i="1"/>
  <c r="AG323" i="1"/>
  <c r="AF323" i="1"/>
  <c r="AE323" i="1"/>
  <c r="AD323" i="1"/>
  <c r="Z323" i="1"/>
  <c r="J323" i="1"/>
  <c r="BJ319" i="1"/>
  <c r="BF319" i="1"/>
  <c r="BD319" i="1"/>
  <c r="AP319" i="1"/>
  <c r="BI319" i="1" s="1"/>
  <c r="AC319" i="1" s="1"/>
  <c r="AO319" i="1"/>
  <c r="BH319" i="1" s="1"/>
  <c r="AB319" i="1" s="1"/>
  <c r="AK319" i="1"/>
  <c r="AJ319" i="1"/>
  <c r="AH319" i="1"/>
  <c r="AG319" i="1"/>
  <c r="AF319" i="1"/>
  <c r="AE319" i="1"/>
  <c r="AD319" i="1"/>
  <c r="Z319" i="1"/>
  <c r="J319" i="1"/>
  <c r="AL319" i="1" s="1"/>
  <c r="BJ317" i="1"/>
  <c r="BF317" i="1"/>
  <c r="BD317" i="1"/>
  <c r="AX317" i="1"/>
  <c r="AW317" i="1"/>
  <c r="AP317" i="1"/>
  <c r="BI317" i="1" s="1"/>
  <c r="AC317" i="1" s="1"/>
  <c r="AO317" i="1"/>
  <c r="BH317" i="1" s="1"/>
  <c r="AB317" i="1" s="1"/>
  <c r="AK317" i="1"/>
  <c r="AJ317" i="1"/>
  <c r="AH317" i="1"/>
  <c r="AG317" i="1"/>
  <c r="AF317" i="1"/>
  <c r="AE317" i="1"/>
  <c r="AD317" i="1"/>
  <c r="Z317" i="1"/>
  <c r="J317" i="1"/>
  <c r="H317" i="1"/>
  <c r="BJ315" i="1"/>
  <c r="BF315" i="1"/>
  <c r="BD315" i="1"/>
  <c r="AX315" i="1"/>
  <c r="AP315" i="1"/>
  <c r="BI315" i="1" s="1"/>
  <c r="AC315" i="1" s="1"/>
  <c r="AO315" i="1"/>
  <c r="BH315" i="1" s="1"/>
  <c r="AB315" i="1" s="1"/>
  <c r="AL315" i="1"/>
  <c r="AK315" i="1"/>
  <c r="AJ315" i="1"/>
  <c r="AH315" i="1"/>
  <c r="AG315" i="1"/>
  <c r="AF315" i="1"/>
  <c r="AE315" i="1"/>
  <c r="AD315" i="1"/>
  <c r="Z315" i="1"/>
  <c r="J315" i="1"/>
  <c r="I315" i="1"/>
  <c r="H315" i="1"/>
  <c r="BJ312" i="1"/>
  <c r="BF312" i="1"/>
  <c r="BD312" i="1"/>
  <c r="AX312" i="1"/>
  <c r="AW312" i="1"/>
  <c r="AP312" i="1"/>
  <c r="BI312" i="1" s="1"/>
  <c r="AC312" i="1" s="1"/>
  <c r="AO312" i="1"/>
  <c r="H312" i="1" s="1"/>
  <c r="AK312" i="1"/>
  <c r="AJ312" i="1"/>
  <c r="AH312" i="1"/>
  <c r="AG312" i="1"/>
  <c r="AF312" i="1"/>
  <c r="AE312" i="1"/>
  <c r="AD312" i="1"/>
  <c r="Z312" i="1"/>
  <c r="J312" i="1"/>
  <c r="AL312" i="1" s="1"/>
  <c r="I312" i="1"/>
  <c r="BJ311" i="1"/>
  <c r="BF311" i="1"/>
  <c r="BD311" i="1"/>
  <c r="AP311" i="1"/>
  <c r="I311" i="1" s="1"/>
  <c r="AO311" i="1"/>
  <c r="AW311" i="1" s="1"/>
  <c r="AL311" i="1"/>
  <c r="AK311" i="1"/>
  <c r="AJ311" i="1"/>
  <c r="AH311" i="1"/>
  <c r="AG311" i="1"/>
  <c r="AF311" i="1"/>
  <c r="AE311" i="1"/>
  <c r="AD311" i="1"/>
  <c r="Z311" i="1"/>
  <c r="J311" i="1"/>
  <c r="H311" i="1"/>
  <c r="BJ302" i="1"/>
  <c r="BF302" i="1"/>
  <c r="BD302" i="1"/>
  <c r="AP302" i="1"/>
  <c r="AX302" i="1" s="1"/>
  <c r="AO302" i="1"/>
  <c r="AL302" i="1"/>
  <c r="AK302" i="1"/>
  <c r="AJ302" i="1"/>
  <c r="AH302" i="1"/>
  <c r="AG302" i="1"/>
  <c r="AF302" i="1"/>
  <c r="AE302" i="1"/>
  <c r="AD302" i="1"/>
  <c r="Z302" i="1"/>
  <c r="J302" i="1"/>
  <c r="I302" i="1"/>
  <c r="BJ293" i="1"/>
  <c r="BI293" i="1"/>
  <c r="AC293" i="1" s="1"/>
  <c r="BF293" i="1"/>
  <c r="BD293" i="1"/>
  <c r="AP293" i="1"/>
  <c r="AO293" i="1"/>
  <c r="H293" i="1" s="1"/>
  <c r="AL293" i="1"/>
  <c r="AK293" i="1"/>
  <c r="AJ293" i="1"/>
  <c r="AH293" i="1"/>
  <c r="AG293" i="1"/>
  <c r="AF293" i="1"/>
  <c r="AE293" i="1"/>
  <c r="AD293" i="1"/>
  <c r="Z293" i="1"/>
  <c r="J293" i="1"/>
  <c r="BJ290" i="1"/>
  <c r="BF290" i="1"/>
  <c r="BD290" i="1"/>
  <c r="AP290" i="1"/>
  <c r="AX290" i="1" s="1"/>
  <c r="AO290" i="1"/>
  <c r="BH290" i="1" s="1"/>
  <c r="AB290" i="1" s="1"/>
  <c r="AL290" i="1"/>
  <c r="AK290" i="1"/>
  <c r="AJ290" i="1"/>
  <c r="AS272" i="1" s="1"/>
  <c r="AH290" i="1"/>
  <c r="AG290" i="1"/>
  <c r="AF290" i="1"/>
  <c r="AE290" i="1"/>
  <c r="AD290" i="1"/>
  <c r="Z290" i="1"/>
  <c r="J290" i="1"/>
  <c r="I290" i="1"/>
  <c r="BJ287" i="1"/>
  <c r="BF287" i="1"/>
  <c r="BD287" i="1"/>
  <c r="AW287" i="1"/>
  <c r="AP287" i="1"/>
  <c r="BI287" i="1" s="1"/>
  <c r="AC287" i="1" s="1"/>
  <c r="AO287" i="1"/>
  <c r="H287" i="1" s="1"/>
  <c r="AK287" i="1"/>
  <c r="AJ287" i="1"/>
  <c r="AH287" i="1"/>
  <c r="AG287" i="1"/>
  <c r="AF287" i="1"/>
  <c r="AE287" i="1"/>
  <c r="AD287" i="1"/>
  <c r="Z287" i="1"/>
  <c r="J287" i="1"/>
  <c r="AL287" i="1" s="1"/>
  <c r="BJ282" i="1"/>
  <c r="BH282" i="1"/>
  <c r="AB282" i="1" s="1"/>
  <c r="BF282" i="1"/>
  <c r="BD282" i="1"/>
  <c r="AP282" i="1"/>
  <c r="I282" i="1" s="1"/>
  <c r="AO282" i="1"/>
  <c r="AW282" i="1" s="1"/>
  <c r="AK282" i="1"/>
  <c r="AJ282" i="1"/>
  <c r="AH282" i="1"/>
  <c r="AG282" i="1"/>
  <c r="AF282" i="1"/>
  <c r="AE282" i="1"/>
  <c r="AD282" i="1"/>
  <c r="Z282" i="1"/>
  <c r="J282" i="1"/>
  <c r="AL282" i="1" s="1"/>
  <c r="H282" i="1"/>
  <c r="BJ278" i="1"/>
  <c r="BH278" i="1"/>
  <c r="AB278" i="1" s="1"/>
  <c r="BF278" i="1"/>
  <c r="BD278" i="1"/>
  <c r="AW278" i="1"/>
  <c r="AP278" i="1"/>
  <c r="AX278" i="1" s="1"/>
  <c r="AO278" i="1"/>
  <c r="H278" i="1" s="1"/>
  <c r="AK278" i="1"/>
  <c r="AJ278" i="1"/>
  <c r="AH278" i="1"/>
  <c r="AG278" i="1"/>
  <c r="AF278" i="1"/>
  <c r="AE278" i="1"/>
  <c r="AD278" i="1"/>
  <c r="Z278" i="1"/>
  <c r="J278" i="1"/>
  <c r="AL278" i="1" s="1"/>
  <c r="BJ273" i="1"/>
  <c r="BI273" i="1"/>
  <c r="AC273" i="1" s="1"/>
  <c r="BF273" i="1"/>
  <c r="BD273" i="1"/>
  <c r="AP273" i="1"/>
  <c r="I273" i="1" s="1"/>
  <c r="AO273" i="1"/>
  <c r="BH273" i="1" s="1"/>
  <c r="AB273" i="1" s="1"/>
  <c r="AK273" i="1"/>
  <c r="AJ273" i="1"/>
  <c r="AH273" i="1"/>
  <c r="AG273" i="1"/>
  <c r="AF273" i="1"/>
  <c r="AE273" i="1"/>
  <c r="AD273" i="1"/>
  <c r="Z273" i="1"/>
  <c r="J273" i="1"/>
  <c r="BJ271" i="1"/>
  <c r="BF271" i="1"/>
  <c r="BD271" i="1"/>
  <c r="AP271" i="1"/>
  <c r="AX271" i="1" s="1"/>
  <c r="AO271" i="1"/>
  <c r="H271" i="1" s="1"/>
  <c r="AK271" i="1"/>
  <c r="AJ271" i="1"/>
  <c r="AH271" i="1"/>
  <c r="AG271" i="1"/>
  <c r="AF271" i="1"/>
  <c r="AE271" i="1"/>
  <c r="AD271" i="1"/>
  <c r="Z271" i="1"/>
  <c r="J271" i="1"/>
  <c r="AL271" i="1" s="1"/>
  <c r="BJ269" i="1"/>
  <c r="BI269" i="1"/>
  <c r="AC269" i="1" s="1"/>
  <c r="BF269" i="1"/>
  <c r="BD269" i="1"/>
  <c r="AX269" i="1"/>
  <c r="AV269" i="1" s="1"/>
  <c r="AW269" i="1"/>
  <c r="AP269" i="1"/>
  <c r="I269" i="1" s="1"/>
  <c r="AO269" i="1"/>
  <c r="BH269" i="1" s="1"/>
  <c r="AB269" i="1" s="1"/>
  <c r="AK269" i="1"/>
  <c r="AJ269" i="1"/>
  <c r="AH269" i="1"/>
  <c r="AG269" i="1"/>
  <c r="AF269" i="1"/>
  <c r="AE269" i="1"/>
  <c r="AD269" i="1"/>
  <c r="Z269" i="1"/>
  <c r="J269" i="1"/>
  <c r="AL269" i="1" s="1"/>
  <c r="H269" i="1"/>
  <c r="BJ267" i="1"/>
  <c r="BF267" i="1"/>
  <c r="BD267" i="1"/>
  <c r="AP267" i="1"/>
  <c r="BI267" i="1" s="1"/>
  <c r="AC267" i="1" s="1"/>
  <c r="AO267" i="1"/>
  <c r="BH267" i="1" s="1"/>
  <c r="AB267" i="1" s="1"/>
  <c r="AL267" i="1"/>
  <c r="AK267" i="1"/>
  <c r="AJ267" i="1"/>
  <c r="AH267" i="1"/>
  <c r="AG267" i="1"/>
  <c r="AF267" i="1"/>
  <c r="AE267" i="1"/>
  <c r="AD267" i="1"/>
  <c r="Z267" i="1"/>
  <c r="J267" i="1"/>
  <c r="I267" i="1"/>
  <c r="H267" i="1"/>
  <c r="BJ265" i="1"/>
  <c r="BF265" i="1"/>
  <c r="BD265" i="1"/>
  <c r="AP265" i="1"/>
  <c r="BI265" i="1" s="1"/>
  <c r="AC265" i="1" s="1"/>
  <c r="AO265" i="1"/>
  <c r="H265" i="1" s="1"/>
  <c r="AK265" i="1"/>
  <c r="AJ265" i="1"/>
  <c r="AH265" i="1"/>
  <c r="AG265" i="1"/>
  <c r="AF265" i="1"/>
  <c r="AE265" i="1"/>
  <c r="AD265" i="1"/>
  <c r="Z265" i="1"/>
  <c r="J265" i="1"/>
  <c r="AL265" i="1" s="1"/>
  <c r="BJ264" i="1"/>
  <c r="BF264" i="1"/>
  <c r="BD264" i="1"/>
  <c r="AP264" i="1"/>
  <c r="I264" i="1" s="1"/>
  <c r="AO264" i="1"/>
  <c r="AW264" i="1" s="1"/>
  <c r="AL264" i="1"/>
  <c r="AK264" i="1"/>
  <c r="AJ264" i="1"/>
  <c r="AH264" i="1"/>
  <c r="AG264" i="1"/>
  <c r="AF264" i="1"/>
  <c r="AE264" i="1"/>
  <c r="AD264" i="1"/>
  <c r="Z264" i="1"/>
  <c r="J264" i="1"/>
  <c r="H264" i="1"/>
  <c r="BJ260" i="1"/>
  <c r="BH260" i="1"/>
  <c r="BF260" i="1"/>
  <c r="BD260" i="1"/>
  <c r="AP260" i="1"/>
  <c r="AX260" i="1" s="1"/>
  <c r="AO260" i="1"/>
  <c r="AK260" i="1"/>
  <c r="AJ260" i="1"/>
  <c r="AH260" i="1"/>
  <c r="AG260" i="1"/>
  <c r="AF260" i="1"/>
  <c r="AE260" i="1"/>
  <c r="AD260" i="1"/>
  <c r="AB260" i="1"/>
  <c r="Z260" i="1"/>
  <c r="J260" i="1"/>
  <c r="AL260" i="1" s="1"/>
  <c r="BJ255" i="1"/>
  <c r="BF255" i="1"/>
  <c r="BD255" i="1"/>
  <c r="AP255" i="1"/>
  <c r="BI255" i="1" s="1"/>
  <c r="AC255" i="1" s="1"/>
  <c r="AO255" i="1"/>
  <c r="H255" i="1" s="1"/>
  <c r="AL255" i="1"/>
  <c r="AK255" i="1"/>
  <c r="AJ255" i="1"/>
  <c r="AH255" i="1"/>
  <c r="AG255" i="1"/>
  <c r="AF255" i="1"/>
  <c r="AE255" i="1"/>
  <c r="AD255" i="1"/>
  <c r="Z255" i="1"/>
  <c r="J255" i="1"/>
  <c r="BJ252" i="1"/>
  <c r="BH252" i="1"/>
  <c r="AB252" i="1" s="1"/>
  <c r="BF252" i="1"/>
  <c r="BD252" i="1"/>
  <c r="BC252" i="1"/>
  <c r="AX252" i="1"/>
  <c r="AP252" i="1"/>
  <c r="I252" i="1" s="1"/>
  <c r="AO252" i="1"/>
  <c r="AW252" i="1" s="1"/>
  <c r="AV252" i="1" s="1"/>
  <c r="AL252" i="1"/>
  <c r="AK252" i="1"/>
  <c r="AJ252" i="1"/>
  <c r="AH252" i="1"/>
  <c r="AG252" i="1"/>
  <c r="AF252" i="1"/>
  <c r="AE252" i="1"/>
  <c r="AD252" i="1"/>
  <c r="Z252" i="1"/>
  <c r="J252" i="1"/>
  <c r="BJ246" i="1"/>
  <c r="BF246" i="1"/>
  <c r="BD246" i="1"/>
  <c r="AP246" i="1"/>
  <c r="AX246" i="1" s="1"/>
  <c r="AO246" i="1"/>
  <c r="H246" i="1" s="1"/>
  <c r="AK246" i="1"/>
  <c r="AJ246" i="1"/>
  <c r="AH246" i="1"/>
  <c r="AG246" i="1"/>
  <c r="AF246" i="1"/>
  <c r="AE246" i="1"/>
  <c r="AD246" i="1"/>
  <c r="Z246" i="1"/>
  <c r="J246" i="1"/>
  <c r="AL246" i="1" s="1"/>
  <c r="BJ243" i="1"/>
  <c r="BF243" i="1"/>
  <c r="BD243" i="1"/>
  <c r="AW243" i="1"/>
  <c r="AP243" i="1"/>
  <c r="I243" i="1" s="1"/>
  <c r="AO243" i="1"/>
  <c r="BH243" i="1" s="1"/>
  <c r="AB243" i="1" s="1"/>
  <c r="AK243" i="1"/>
  <c r="AJ243" i="1"/>
  <c r="AH243" i="1"/>
  <c r="AG243" i="1"/>
  <c r="AF243" i="1"/>
  <c r="AE243" i="1"/>
  <c r="AD243" i="1"/>
  <c r="Z243" i="1"/>
  <c r="J243" i="1"/>
  <c r="H243" i="1"/>
  <c r="BJ241" i="1"/>
  <c r="BF241" i="1"/>
  <c r="BD241" i="1"/>
  <c r="AX241" i="1"/>
  <c r="AP241" i="1"/>
  <c r="BI241" i="1" s="1"/>
  <c r="AC241" i="1" s="1"/>
  <c r="AO241" i="1"/>
  <c r="H241" i="1" s="1"/>
  <c r="AL241" i="1"/>
  <c r="AK241" i="1"/>
  <c r="AJ241" i="1"/>
  <c r="AH241" i="1"/>
  <c r="AG241" i="1"/>
  <c r="AF241" i="1"/>
  <c r="AE241" i="1"/>
  <c r="AD241" i="1"/>
  <c r="Z241" i="1"/>
  <c r="J241" i="1"/>
  <c r="I241" i="1"/>
  <c r="BJ240" i="1"/>
  <c r="BF240" i="1"/>
  <c r="BD240" i="1"/>
  <c r="AW240" i="1"/>
  <c r="AP240" i="1"/>
  <c r="AX240" i="1" s="1"/>
  <c r="AO240" i="1"/>
  <c r="H240" i="1" s="1"/>
  <c r="AK240" i="1"/>
  <c r="AJ240" i="1"/>
  <c r="AH240" i="1"/>
  <c r="AG240" i="1"/>
  <c r="AF240" i="1"/>
  <c r="AE240" i="1"/>
  <c r="AD240" i="1"/>
  <c r="Z240" i="1"/>
  <c r="J240" i="1"/>
  <c r="AL240" i="1" s="1"/>
  <c r="I240" i="1"/>
  <c r="BJ238" i="1"/>
  <c r="BF238" i="1"/>
  <c r="BD238" i="1"/>
  <c r="AP238" i="1"/>
  <c r="I238" i="1" s="1"/>
  <c r="AO238" i="1"/>
  <c r="AW238" i="1" s="1"/>
  <c r="AK238" i="1"/>
  <c r="AJ238" i="1"/>
  <c r="AH238" i="1"/>
  <c r="AG238" i="1"/>
  <c r="AF238" i="1"/>
  <c r="AE238" i="1"/>
  <c r="AD238" i="1"/>
  <c r="Z238" i="1"/>
  <c r="J238" i="1"/>
  <c r="AL238" i="1" s="1"/>
  <c r="BJ231" i="1"/>
  <c r="BF231" i="1"/>
  <c r="BD231" i="1"/>
  <c r="AW231" i="1"/>
  <c r="BC231" i="1" s="1"/>
  <c r="AP231" i="1"/>
  <c r="AX231" i="1" s="1"/>
  <c r="AO231" i="1"/>
  <c r="H231" i="1" s="1"/>
  <c r="AL231" i="1"/>
  <c r="AK231" i="1"/>
  <c r="AT230" i="1" s="1"/>
  <c r="AJ231" i="1"/>
  <c r="AH231" i="1"/>
  <c r="AG231" i="1"/>
  <c r="AF231" i="1"/>
  <c r="AE231" i="1"/>
  <c r="AD231" i="1"/>
  <c r="Z231" i="1"/>
  <c r="J231" i="1"/>
  <c r="BJ228" i="1"/>
  <c r="BF228" i="1"/>
  <c r="BD228" i="1"/>
  <c r="AP228" i="1"/>
  <c r="I228" i="1" s="1"/>
  <c r="AO228" i="1"/>
  <c r="AW228" i="1" s="1"/>
  <c r="AK228" i="1"/>
  <c r="AJ228" i="1"/>
  <c r="AH228" i="1"/>
  <c r="AG228" i="1"/>
  <c r="AF228" i="1"/>
  <c r="AE228" i="1"/>
  <c r="AD228" i="1"/>
  <c r="Z228" i="1"/>
  <c r="J228" i="1"/>
  <c r="AL228" i="1" s="1"/>
  <c r="H228" i="1"/>
  <c r="BJ227" i="1"/>
  <c r="BF227" i="1"/>
  <c r="BD227" i="1"/>
  <c r="AP227" i="1"/>
  <c r="AX227" i="1" s="1"/>
  <c r="AO227" i="1"/>
  <c r="AW227" i="1" s="1"/>
  <c r="AL227" i="1"/>
  <c r="AK227" i="1"/>
  <c r="AJ227" i="1"/>
  <c r="AH227" i="1"/>
  <c r="AG227" i="1"/>
  <c r="AF227" i="1"/>
  <c r="AE227" i="1"/>
  <c r="AD227" i="1"/>
  <c r="Z227" i="1"/>
  <c r="J227" i="1"/>
  <c r="I227" i="1"/>
  <c r="H227" i="1"/>
  <c r="BJ223" i="1"/>
  <c r="BH223" i="1"/>
  <c r="BF223" i="1"/>
  <c r="BD223" i="1"/>
  <c r="AX223" i="1"/>
  <c r="AP223" i="1"/>
  <c r="BI223" i="1" s="1"/>
  <c r="AC223" i="1" s="1"/>
  <c r="AO223" i="1"/>
  <c r="H223" i="1" s="1"/>
  <c r="AK223" i="1"/>
  <c r="AJ223" i="1"/>
  <c r="AH223" i="1"/>
  <c r="AG223" i="1"/>
  <c r="AF223" i="1"/>
  <c r="AE223" i="1"/>
  <c r="AD223" i="1"/>
  <c r="AB223" i="1"/>
  <c r="Z223" i="1"/>
  <c r="J223" i="1"/>
  <c r="AL223" i="1" s="1"/>
  <c r="BJ213" i="1"/>
  <c r="BF213" i="1"/>
  <c r="BD213" i="1"/>
  <c r="AP213" i="1"/>
  <c r="I213" i="1" s="1"/>
  <c r="AO213" i="1"/>
  <c r="AW213" i="1" s="1"/>
  <c r="AK213" i="1"/>
  <c r="AJ213" i="1"/>
  <c r="AH213" i="1"/>
  <c r="AG213" i="1"/>
  <c r="AF213" i="1"/>
  <c r="AE213" i="1"/>
  <c r="AD213" i="1"/>
  <c r="Z213" i="1"/>
  <c r="J213" i="1"/>
  <c r="AL213" i="1" s="1"/>
  <c r="BJ209" i="1"/>
  <c r="BF209" i="1"/>
  <c r="BD209" i="1"/>
  <c r="AP209" i="1"/>
  <c r="AX209" i="1" s="1"/>
  <c r="AO209" i="1"/>
  <c r="BH209" i="1" s="1"/>
  <c r="AB209" i="1" s="1"/>
  <c r="AK209" i="1"/>
  <c r="AJ209" i="1"/>
  <c r="AH209" i="1"/>
  <c r="AG209" i="1"/>
  <c r="AF209" i="1"/>
  <c r="AE209" i="1"/>
  <c r="AD209" i="1"/>
  <c r="Z209" i="1"/>
  <c r="J209" i="1"/>
  <c r="AL209" i="1" s="1"/>
  <c r="BJ197" i="1"/>
  <c r="BF197" i="1"/>
  <c r="BD197" i="1"/>
  <c r="AP197" i="1"/>
  <c r="AX197" i="1" s="1"/>
  <c r="AO197" i="1"/>
  <c r="BH197" i="1" s="1"/>
  <c r="AB197" i="1" s="1"/>
  <c r="AL197" i="1"/>
  <c r="AK197" i="1"/>
  <c r="AJ197" i="1"/>
  <c r="AH197" i="1"/>
  <c r="AG197" i="1"/>
  <c r="AF197" i="1"/>
  <c r="AE197" i="1"/>
  <c r="AD197" i="1"/>
  <c r="Z197" i="1"/>
  <c r="J197" i="1"/>
  <c r="I197" i="1"/>
  <c r="H197" i="1"/>
  <c r="BJ196" i="1"/>
  <c r="BF196" i="1"/>
  <c r="BD196" i="1"/>
  <c r="AX196" i="1"/>
  <c r="AP196" i="1"/>
  <c r="BI196" i="1" s="1"/>
  <c r="AC196" i="1" s="1"/>
  <c r="AO196" i="1"/>
  <c r="AW196" i="1" s="1"/>
  <c r="AK196" i="1"/>
  <c r="AJ196" i="1"/>
  <c r="AH196" i="1"/>
  <c r="AG196" i="1"/>
  <c r="AF196" i="1"/>
  <c r="AE196" i="1"/>
  <c r="AD196" i="1"/>
  <c r="Z196" i="1"/>
  <c r="J196" i="1"/>
  <c r="AL196" i="1" s="1"/>
  <c r="I196" i="1"/>
  <c r="BJ184" i="1"/>
  <c r="BI184" i="1"/>
  <c r="AC184" i="1" s="1"/>
  <c r="BH184" i="1"/>
  <c r="AB184" i="1" s="1"/>
  <c r="BF184" i="1"/>
  <c r="BD184" i="1"/>
  <c r="AP184" i="1"/>
  <c r="I184" i="1" s="1"/>
  <c r="AO184" i="1"/>
  <c r="H184" i="1" s="1"/>
  <c r="AK184" i="1"/>
  <c r="AJ184" i="1"/>
  <c r="AH184" i="1"/>
  <c r="AG184" i="1"/>
  <c r="AF184" i="1"/>
  <c r="AE184" i="1"/>
  <c r="AD184" i="1"/>
  <c r="Z184" i="1"/>
  <c r="J184" i="1"/>
  <c r="AL184" i="1" s="1"/>
  <c r="BJ173" i="1"/>
  <c r="BF173" i="1"/>
  <c r="BD173" i="1"/>
  <c r="AX173" i="1"/>
  <c r="AP173" i="1"/>
  <c r="I173" i="1" s="1"/>
  <c r="AO173" i="1"/>
  <c r="AW173" i="1" s="1"/>
  <c r="BC173" i="1" s="1"/>
  <c r="AK173" i="1"/>
  <c r="AJ173" i="1"/>
  <c r="AH173" i="1"/>
  <c r="AG173" i="1"/>
  <c r="AF173" i="1"/>
  <c r="AE173" i="1"/>
  <c r="AD173" i="1"/>
  <c r="Z173" i="1"/>
  <c r="J173" i="1"/>
  <c r="AL173" i="1" s="1"/>
  <c r="BJ168" i="1"/>
  <c r="BF168" i="1"/>
  <c r="BD168" i="1"/>
  <c r="AP168" i="1"/>
  <c r="AX168" i="1" s="1"/>
  <c r="AO168" i="1"/>
  <c r="BH168" i="1" s="1"/>
  <c r="AB168" i="1" s="1"/>
  <c r="AL168" i="1"/>
  <c r="AK168" i="1"/>
  <c r="AJ168" i="1"/>
  <c r="AH168" i="1"/>
  <c r="AG168" i="1"/>
  <c r="AF168" i="1"/>
  <c r="AE168" i="1"/>
  <c r="AD168" i="1"/>
  <c r="Z168" i="1"/>
  <c r="J168" i="1"/>
  <c r="I168" i="1"/>
  <c r="H168" i="1"/>
  <c r="BJ166" i="1"/>
  <c r="BF166" i="1"/>
  <c r="BD166" i="1"/>
  <c r="AP166" i="1"/>
  <c r="BI166" i="1" s="1"/>
  <c r="AC166" i="1" s="1"/>
  <c r="AO166" i="1"/>
  <c r="H166" i="1" s="1"/>
  <c r="AL166" i="1"/>
  <c r="AK166" i="1"/>
  <c r="AJ166" i="1"/>
  <c r="AH166" i="1"/>
  <c r="AG166" i="1"/>
  <c r="AF166" i="1"/>
  <c r="AE166" i="1"/>
  <c r="AD166" i="1"/>
  <c r="Z166" i="1"/>
  <c r="J166" i="1"/>
  <c r="I166" i="1"/>
  <c r="BJ165" i="1"/>
  <c r="BF165" i="1"/>
  <c r="BD165" i="1"/>
  <c r="AP165" i="1"/>
  <c r="I165" i="1" s="1"/>
  <c r="AO165" i="1"/>
  <c r="AW165" i="1" s="1"/>
  <c r="AL165" i="1"/>
  <c r="AK165" i="1"/>
  <c r="AJ165" i="1"/>
  <c r="AH165" i="1"/>
  <c r="AG165" i="1"/>
  <c r="AF165" i="1"/>
  <c r="AE165" i="1"/>
  <c r="AD165" i="1"/>
  <c r="Z165" i="1"/>
  <c r="J165" i="1"/>
  <c r="H165" i="1"/>
  <c r="BJ161" i="1"/>
  <c r="BI161" i="1"/>
  <c r="AC161" i="1" s="1"/>
  <c r="BF161" i="1"/>
  <c r="BD161" i="1"/>
  <c r="AP161" i="1"/>
  <c r="AX161" i="1" s="1"/>
  <c r="AO161" i="1"/>
  <c r="AW161" i="1" s="1"/>
  <c r="AL161" i="1"/>
  <c r="AK161" i="1"/>
  <c r="AJ161" i="1"/>
  <c r="AH161" i="1"/>
  <c r="AG161" i="1"/>
  <c r="AF161" i="1"/>
  <c r="AE161" i="1"/>
  <c r="AD161" i="1"/>
  <c r="Z161" i="1"/>
  <c r="J161" i="1"/>
  <c r="I161" i="1"/>
  <c r="BJ158" i="1"/>
  <c r="BF158" i="1"/>
  <c r="BD158" i="1"/>
  <c r="AX158" i="1"/>
  <c r="AP158" i="1"/>
  <c r="BI158" i="1" s="1"/>
  <c r="AC158" i="1" s="1"/>
  <c r="AO158" i="1"/>
  <c r="BH158" i="1" s="1"/>
  <c r="AB158" i="1" s="1"/>
  <c r="AK158" i="1"/>
  <c r="AJ158" i="1"/>
  <c r="AH158" i="1"/>
  <c r="AG158" i="1"/>
  <c r="AF158" i="1"/>
  <c r="AE158" i="1"/>
  <c r="AD158" i="1"/>
  <c r="Z158" i="1"/>
  <c r="J158" i="1"/>
  <c r="AL158" i="1" s="1"/>
  <c r="I158" i="1"/>
  <c r="BJ152" i="1"/>
  <c r="BI152" i="1"/>
  <c r="AC152" i="1" s="1"/>
  <c r="BH152" i="1"/>
  <c r="AB152" i="1" s="1"/>
  <c r="BF152" i="1"/>
  <c r="BD152" i="1"/>
  <c r="AP152" i="1"/>
  <c r="AX152" i="1" s="1"/>
  <c r="AO152" i="1"/>
  <c r="AW152" i="1" s="1"/>
  <c r="AK152" i="1"/>
  <c r="AJ152" i="1"/>
  <c r="AS151" i="1" s="1"/>
  <c r="AH152" i="1"/>
  <c r="AG152" i="1"/>
  <c r="AF152" i="1"/>
  <c r="AE152" i="1"/>
  <c r="AD152" i="1"/>
  <c r="Z152" i="1"/>
  <c r="J152" i="1"/>
  <c r="J151" i="1" s="1"/>
  <c r="G30" i="2" s="1"/>
  <c r="I30" i="2" s="1"/>
  <c r="H152" i="1"/>
  <c r="AT151" i="1"/>
  <c r="H151" i="1"/>
  <c r="E30" i="2" s="1"/>
  <c r="BJ148" i="1"/>
  <c r="BF148" i="1"/>
  <c r="BD148" i="1"/>
  <c r="AW148" i="1"/>
  <c r="AV148" i="1" s="1"/>
  <c r="AP148" i="1"/>
  <c r="AX148" i="1" s="1"/>
  <c r="AO148" i="1"/>
  <c r="H148" i="1" s="1"/>
  <c r="H147" i="1" s="1"/>
  <c r="E29" i="2" s="1"/>
  <c r="AK148" i="1"/>
  <c r="AT147" i="1" s="1"/>
  <c r="AJ148" i="1"/>
  <c r="AS147" i="1" s="1"/>
  <c r="AH148" i="1"/>
  <c r="AG148" i="1"/>
  <c r="AF148" i="1"/>
  <c r="AE148" i="1"/>
  <c r="AD148" i="1"/>
  <c r="Z148" i="1"/>
  <c r="J148" i="1"/>
  <c r="AL148" i="1" s="1"/>
  <c r="AU147" i="1" s="1"/>
  <c r="I148" i="1"/>
  <c r="I147" i="1" s="1"/>
  <c r="F29" i="2" s="1"/>
  <c r="BJ145" i="1"/>
  <c r="BF145" i="1"/>
  <c r="BD145" i="1"/>
  <c r="AX145" i="1"/>
  <c r="AP145" i="1"/>
  <c r="BI145" i="1" s="1"/>
  <c r="AO145" i="1"/>
  <c r="AW145" i="1" s="1"/>
  <c r="AK145" i="1"/>
  <c r="AJ145" i="1"/>
  <c r="AS144" i="1" s="1"/>
  <c r="AH145" i="1"/>
  <c r="AG145" i="1"/>
  <c r="AF145" i="1"/>
  <c r="AE145" i="1"/>
  <c r="AD145" i="1"/>
  <c r="AC145" i="1"/>
  <c r="AB145" i="1"/>
  <c r="Z145" i="1"/>
  <c r="J145" i="1"/>
  <c r="AL145" i="1" s="1"/>
  <c r="AU144" i="1" s="1"/>
  <c r="H145" i="1"/>
  <c r="H144" i="1" s="1"/>
  <c r="E28" i="2" s="1"/>
  <c r="AT144" i="1"/>
  <c r="J144" i="1"/>
  <c r="G28" i="2" s="1"/>
  <c r="I28" i="2" s="1"/>
  <c r="BJ141" i="1"/>
  <c r="BF141" i="1"/>
  <c r="BD141" i="1"/>
  <c r="AP141" i="1"/>
  <c r="BI141" i="1" s="1"/>
  <c r="AC141" i="1" s="1"/>
  <c r="AO141" i="1"/>
  <c r="BH141" i="1" s="1"/>
  <c r="AB141" i="1" s="1"/>
  <c r="AK141" i="1"/>
  <c r="AJ141" i="1"/>
  <c r="AH141" i="1"/>
  <c r="AG141" i="1"/>
  <c r="AF141" i="1"/>
  <c r="AE141" i="1"/>
  <c r="AD141" i="1"/>
  <c r="Z141" i="1"/>
  <c r="J141" i="1"/>
  <c r="AL141" i="1" s="1"/>
  <c r="BJ138" i="1"/>
  <c r="BF138" i="1"/>
  <c r="BD138" i="1"/>
  <c r="AP138" i="1"/>
  <c r="BI138" i="1" s="1"/>
  <c r="AC138" i="1" s="1"/>
  <c r="AO138" i="1"/>
  <c r="AW138" i="1" s="1"/>
  <c r="AK138" i="1"/>
  <c r="AJ138" i="1"/>
  <c r="AH138" i="1"/>
  <c r="AG138" i="1"/>
  <c r="AF138" i="1"/>
  <c r="AE138" i="1"/>
  <c r="AD138" i="1"/>
  <c r="Z138" i="1"/>
  <c r="J138" i="1"/>
  <c r="AL138" i="1" s="1"/>
  <c r="AU137" i="1" s="1"/>
  <c r="H138" i="1"/>
  <c r="AT137" i="1"/>
  <c r="BJ134" i="1"/>
  <c r="BF134" i="1"/>
  <c r="BD134" i="1"/>
  <c r="AX134" i="1"/>
  <c r="AP134" i="1"/>
  <c r="BI134" i="1" s="1"/>
  <c r="AC134" i="1" s="1"/>
  <c r="AO134" i="1"/>
  <c r="BH134" i="1" s="1"/>
  <c r="AB134" i="1" s="1"/>
  <c r="AK134" i="1"/>
  <c r="AJ134" i="1"/>
  <c r="AH134" i="1"/>
  <c r="AG134" i="1"/>
  <c r="AF134" i="1"/>
  <c r="AE134" i="1"/>
  <c r="AD134" i="1"/>
  <c r="Z134" i="1"/>
  <c r="J134" i="1"/>
  <c r="AL134" i="1" s="1"/>
  <c r="BJ131" i="1"/>
  <c r="BF131" i="1"/>
  <c r="BD131" i="1"/>
  <c r="AP131" i="1"/>
  <c r="BI131" i="1" s="1"/>
  <c r="AC131" i="1" s="1"/>
  <c r="AO131" i="1"/>
  <c r="AW131" i="1" s="1"/>
  <c r="AK131" i="1"/>
  <c r="AJ131" i="1"/>
  <c r="AH131" i="1"/>
  <c r="AG131" i="1"/>
  <c r="AF131" i="1"/>
  <c r="AE131" i="1"/>
  <c r="AD131" i="1"/>
  <c r="Z131" i="1"/>
  <c r="J131" i="1"/>
  <c r="AL131" i="1" s="1"/>
  <c r="AU119" i="1" s="1"/>
  <c r="BJ120" i="1"/>
  <c r="BF120" i="1"/>
  <c r="BD120" i="1"/>
  <c r="AP120" i="1"/>
  <c r="AX120" i="1" s="1"/>
  <c r="AO120" i="1"/>
  <c r="H120" i="1" s="1"/>
  <c r="AL120" i="1"/>
  <c r="AK120" i="1"/>
  <c r="AJ120" i="1"/>
  <c r="AH120" i="1"/>
  <c r="AG120" i="1"/>
  <c r="AF120" i="1"/>
  <c r="AE120" i="1"/>
  <c r="AD120" i="1"/>
  <c r="Z120" i="1"/>
  <c r="J120" i="1"/>
  <c r="I120" i="1"/>
  <c r="BJ117" i="1"/>
  <c r="BF117" i="1"/>
  <c r="BD117" i="1"/>
  <c r="AX117" i="1"/>
  <c r="AP117" i="1"/>
  <c r="BI117" i="1" s="1"/>
  <c r="AC117" i="1" s="1"/>
  <c r="AO117" i="1"/>
  <c r="AW117" i="1" s="1"/>
  <c r="AL117" i="1"/>
  <c r="AU116" i="1" s="1"/>
  <c r="AK117" i="1"/>
  <c r="AJ117" i="1"/>
  <c r="AS116" i="1" s="1"/>
  <c r="AH117" i="1"/>
  <c r="AG117" i="1"/>
  <c r="AF117" i="1"/>
  <c r="AE117" i="1"/>
  <c r="AD117" i="1"/>
  <c r="Z117" i="1"/>
  <c r="J117" i="1"/>
  <c r="I117" i="1"/>
  <c r="I116" i="1" s="1"/>
  <c r="F25" i="2" s="1"/>
  <c r="H117" i="1"/>
  <c r="H116" i="1" s="1"/>
  <c r="E25" i="2" s="1"/>
  <c r="AT116" i="1"/>
  <c r="J116" i="1"/>
  <c r="G25" i="2" s="1"/>
  <c r="I25" i="2" s="1"/>
  <c r="BJ114" i="1"/>
  <c r="BF114" i="1"/>
  <c r="BD114" i="1"/>
  <c r="AP114" i="1"/>
  <c r="BI114" i="1" s="1"/>
  <c r="AC114" i="1" s="1"/>
  <c r="AO114" i="1"/>
  <c r="BH114" i="1" s="1"/>
  <c r="AB114" i="1" s="1"/>
  <c r="AK114" i="1"/>
  <c r="AJ114" i="1"/>
  <c r="AH114" i="1"/>
  <c r="AG114" i="1"/>
  <c r="AF114" i="1"/>
  <c r="AE114" i="1"/>
  <c r="AD114" i="1"/>
  <c r="Z114" i="1"/>
  <c r="J114" i="1"/>
  <c r="BJ113" i="1"/>
  <c r="BF113" i="1"/>
  <c r="BD113" i="1"/>
  <c r="AP113" i="1"/>
  <c r="BI113" i="1" s="1"/>
  <c r="AC113" i="1" s="1"/>
  <c r="AO113" i="1"/>
  <c r="AW113" i="1" s="1"/>
  <c r="AK113" i="1"/>
  <c r="AJ113" i="1"/>
  <c r="AH113" i="1"/>
  <c r="AG113" i="1"/>
  <c r="AF113" i="1"/>
  <c r="AE113" i="1"/>
  <c r="AD113" i="1"/>
  <c r="Z113" i="1"/>
  <c r="J113" i="1"/>
  <c r="AL113" i="1" s="1"/>
  <c r="H113" i="1"/>
  <c r="BJ111" i="1"/>
  <c r="BF111" i="1"/>
  <c r="BD111" i="1"/>
  <c r="AW111" i="1"/>
  <c r="AP111" i="1"/>
  <c r="AX111" i="1" s="1"/>
  <c r="AO111" i="1"/>
  <c r="H111" i="1" s="1"/>
  <c r="AL111" i="1"/>
  <c r="AK111" i="1"/>
  <c r="AJ111" i="1"/>
  <c r="AH111" i="1"/>
  <c r="AG111" i="1"/>
  <c r="AF111" i="1"/>
  <c r="AE111" i="1"/>
  <c r="AD111" i="1"/>
  <c r="Z111" i="1"/>
  <c r="J111" i="1"/>
  <c r="I111" i="1"/>
  <c r="BJ108" i="1"/>
  <c r="BF108" i="1"/>
  <c r="BD108" i="1"/>
  <c r="AP108" i="1"/>
  <c r="I108" i="1" s="1"/>
  <c r="AO108" i="1"/>
  <c r="AW108" i="1" s="1"/>
  <c r="AL108" i="1"/>
  <c r="AK108" i="1"/>
  <c r="AJ108" i="1"/>
  <c r="AH108" i="1"/>
  <c r="AG108" i="1"/>
  <c r="AF108" i="1"/>
  <c r="AE108" i="1"/>
  <c r="AD108" i="1"/>
  <c r="Z108" i="1"/>
  <c r="J108" i="1"/>
  <c r="BJ94" i="1"/>
  <c r="BF94" i="1"/>
  <c r="BD94" i="1"/>
  <c r="AP94" i="1"/>
  <c r="AX94" i="1" s="1"/>
  <c r="AO94" i="1"/>
  <c r="AW94" i="1" s="1"/>
  <c r="AL94" i="1"/>
  <c r="AK94" i="1"/>
  <c r="AJ94" i="1"/>
  <c r="AH94" i="1"/>
  <c r="AG94" i="1"/>
  <c r="AF94" i="1"/>
  <c r="AE94" i="1"/>
  <c r="AD94" i="1"/>
  <c r="Z94" i="1"/>
  <c r="J94" i="1"/>
  <c r="I94" i="1"/>
  <c r="BJ91" i="1"/>
  <c r="BF91" i="1"/>
  <c r="BD91" i="1"/>
  <c r="AP91" i="1"/>
  <c r="AX91" i="1" s="1"/>
  <c r="AO91" i="1"/>
  <c r="BH91" i="1" s="1"/>
  <c r="AB91" i="1" s="1"/>
  <c r="AK91" i="1"/>
  <c r="AJ91" i="1"/>
  <c r="AH91" i="1"/>
  <c r="AG91" i="1"/>
  <c r="AF91" i="1"/>
  <c r="AE91" i="1"/>
  <c r="AD91" i="1"/>
  <c r="Z91" i="1"/>
  <c r="J91" i="1"/>
  <c r="AL91" i="1" s="1"/>
  <c r="BJ87" i="1"/>
  <c r="BF87" i="1"/>
  <c r="BD87" i="1"/>
  <c r="AX87" i="1"/>
  <c r="AW87" i="1"/>
  <c r="BC87" i="1" s="1"/>
  <c r="AP87" i="1"/>
  <c r="BI87" i="1" s="1"/>
  <c r="AG87" i="1" s="1"/>
  <c r="AO87" i="1"/>
  <c r="BH87" i="1" s="1"/>
  <c r="AF87" i="1" s="1"/>
  <c r="AK87" i="1"/>
  <c r="AJ87" i="1"/>
  <c r="AS86" i="1" s="1"/>
  <c r="AH87" i="1"/>
  <c r="AE87" i="1"/>
  <c r="AD87" i="1"/>
  <c r="AC87" i="1"/>
  <c r="AB87" i="1"/>
  <c r="Z87" i="1"/>
  <c r="J87" i="1"/>
  <c r="AL87" i="1" s="1"/>
  <c r="AU86" i="1" s="1"/>
  <c r="I87" i="1"/>
  <c r="I86" i="1" s="1"/>
  <c r="F22" i="2" s="1"/>
  <c r="AT86" i="1"/>
  <c r="BJ85" i="1"/>
  <c r="Z85" i="1" s="1"/>
  <c r="BF85" i="1"/>
  <c r="BD85" i="1"/>
  <c r="AP85" i="1"/>
  <c r="BI85" i="1" s="1"/>
  <c r="AO85" i="1"/>
  <c r="BH85" i="1" s="1"/>
  <c r="AL85" i="1"/>
  <c r="AU84" i="1" s="1"/>
  <c r="AK85" i="1"/>
  <c r="AJ85" i="1"/>
  <c r="AH85" i="1"/>
  <c r="AG85" i="1"/>
  <c r="AF85" i="1"/>
  <c r="AE85" i="1"/>
  <c r="AD85" i="1"/>
  <c r="AC85" i="1"/>
  <c r="AB85" i="1"/>
  <c r="J85" i="1"/>
  <c r="J84" i="1" s="1"/>
  <c r="G21" i="2" s="1"/>
  <c r="I21" i="2" s="1"/>
  <c r="I85" i="1"/>
  <c r="I84" i="1" s="1"/>
  <c r="F21" i="2" s="1"/>
  <c r="H85" i="1"/>
  <c r="H84" i="1" s="1"/>
  <c r="E21" i="2" s="1"/>
  <c r="AT84" i="1"/>
  <c r="AS84" i="1"/>
  <c r="BJ82" i="1"/>
  <c r="BF82" i="1"/>
  <c r="BD82" i="1"/>
  <c r="AP82" i="1"/>
  <c r="AX82" i="1" s="1"/>
  <c r="AO82" i="1"/>
  <c r="BH82" i="1" s="1"/>
  <c r="AB82" i="1" s="1"/>
  <c r="AK82" i="1"/>
  <c r="AJ82" i="1"/>
  <c r="AH82" i="1"/>
  <c r="AG82" i="1"/>
  <c r="AF82" i="1"/>
  <c r="AE82" i="1"/>
  <c r="AD82" i="1"/>
  <c r="Z82" i="1"/>
  <c r="J82" i="1"/>
  <c r="AL82" i="1" s="1"/>
  <c r="BJ80" i="1"/>
  <c r="BF80" i="1"/>
  <c r="BD80" i="1"/>
  <c r="AX80" i="1"/>
  <c r="BC80" i="1" s="1"/>
  <c r="AW80" i="1"/>
  <c r="AV80" i="1" s="1"/>
  <c r="AP80" i="1"/>
  <c r="BI80" i="1" s="1"/>
  <c r="AC80" i="1" s="1"/>
  <c r="AO80" i="1"/>
  <c r="BH80" i="1" s="1"/>
  <c r="AB80" i="1" s="1"/>
  <c r="AK80" i="1"/>
  <c r="AJ80" i="1"/>
  <c r="AH80" i="1"/>
  <c r="AG80" i="1"/>
  <c r="AF80" i="1"/>
  <c r="AE80" i="1"/>
  <c r="AD80" i="1"/>
  <c r="Z80" i="1"/>
  <c r="J80" i="1"/>
  <c r="AL80" i="1" s="1"/>
  <c r="I80" i="1"/>
  <c r="H80" i="1"/>
  <c r="BJ77" i="1"/>
  <c r="BF77" i="1"/>
  <c r="BD77" i="1"/>
  <c r="AX77" i="1"/>
  <c r="AP77" i="1"/>
  <c r="BI77" i="1" s="1"/>
  <c r="AC77" i="1" s="1"/>
  <c r="AO77" i="1"/>
  <c r="BH77" i="1" s="1"/>
  <c r="AB77" i="1" s="1"/>
  <c r="AK77" i="1"/>
  <c r="AJ77" i="1"/>
  <c r="AH77" i="1"/>
  <c r="AG77" i="1"/>
  <c r="AF77" i="1"/>
  <c r="AE77" i="1"/>
  <c r="AD77" i="1"/>
  <c r="Z77" i="1"/>
  <c r="J77" i="1"/>
  <c r="AL77" i="1" s="1"/>
  <c r="I77" i="1"/>
  <c r="BJ75" i="1"/>
  <c r="BF75" i="1"/>
  <c r="BD75" i="1"/>
  <c r="AX75" i="1"/>
  <c r="AP75" i="1"/>
  <c r="BI75" i="1" s="1"/>
  <c r="AC75" i="1" s="1"/>
  <c r="AO75" i="1"/>
  <c r="BH75" i="1" s="1"/>
  <c r="AB75" i="1" s="1"/>
  <c r="AK75" i="1"/>
  <c r="AJ75" i="1"/>
  <c r="AH75" i="1"/>
  <c r="AG75" i="1"/>
  <c r="AF75" i="1"/>
  <c r="AE75" i="1"/>
  <c r="AD75" i="1"/>
  <c r="Z75" i="1"/>
  <c r="J75" i="1"/>
  <c r="J61" i="1" s="1"/>
  <c r="G20" i="2" s="1"/>
  <c r="I20" i="2" s="1"/>
  <c r="H75" i="1"/>
  <c r="BJ72" i="1"/>
  <c r="BF72" i="1"/>
  <c r="BD72" i="1"/>
  <c r="AP72" i="1"/>
  <c r="BI72" i="1" s="1"/>
  <c r="AC72" i="1" s="1"/>
  <c r="AO72" i="1"/>
  <c r="AW72" i="1" s="1"/>
  <c r="AK72" i="1"/>
  <c r="AJ72" i="1"/>
  <c r="AH72" i="1"/>
  <c r="AG72" i="1"/>
  <c r="AF72" i="1"/>
  <c r="AE72" i="1"/>
  <c r="AD72" i="1"/>
  <c r="Z72" i="1"/>
  <c r="J72" i="1"/>
  <c r="AL72" i="1" s="1"/>
  <c r="I72" i="1"/>
  <c r="H72" i="1"/>
  <c r="BJ71" i="1"/>
  <c r="BF71" i="1"/>
  <c r="BD71" i="1"/>
  <c r="AP71" i="1"/>
  <c r="AX71" i="1" s="1"/>
  <c r="AO71" i="1"/>
  <c r="H71" i="1" s="1"/>
  <c r="AL71" i="1"/>
  <c r="AK71" i="1"/>
  <c r="AJ71" i="1"/>
  <c r="AH71" i="1"/>
  <c r="AG71" i="1"/>
  <c r="AF71" i="1"/>
  <c r="AE71" i="1"/>
  <c r="AD71" i="1"/>
  <c r="Z71" i="1"/>
  <c r="J71" i="1"/>
  <c r="BJ70" i="1"/>
  <c r="BF70" i="1"/>
  <c r="BD70" i="1"/>
  <c r="AP70" i="1"/>
  <c r="I70" i="1" s="1"/>
  <c r="AO70" i="1"/>
  <c r="AW70" i="1" s="1"/>
  <c r="AL70" i="1"/>
  <c r="AK70" i="1"/>
  <c r="AJ70" i="1"/>
  <c r="AH70" i="1"/>
  <c r="AG70" i="1"/>
  <c r="AF70" i="1"/>
  <c r="AE70" i="1"/>
  <c r="AD70" i="1"/>
  <c r="Z70" i="1"/>
  <c r="J70" i="1"/>
  <c r="H70" i="1"/>
  <c r="BJ64" i="1"/>
  <c r="BF64" i="1"/>
  <c r="BD64" i="1"/>
  <c r="AP64" i="1"/>
  <c r="AX64" i="1" s="1"/>
  <c r="AO64" i="1"/>
  <c r="AW64" i="1" s="1"/>
  <c r="AK64" i="1"/>
  <c r="AJ64" i="1"/>
  <c r="AS61" i="1" s="1"/>
  <c r="AH64" i="1"/>
  <c r="AG64" i="1"/>
  <c r="AF64" i="1"/>
  <c r="AE64" i="1"/>
  <c r="AD64" i="1"/>
  <c r="Z64" i="1"/>
  <c r="J64" i="1"/>
  <c r="AL64" i="1" s="1"/>
  <c r="BJ62" i="1"/>
  <c r="BF62" i="1"/>
  <c r="BD62" i="1"/>
  <c r="AW62" i="1"/>
  <c r="AP62" i="1"/>
  <c r="AX62" i="1" s="1"/>
  <c r="AV62" i="1" s="1"/>
  <c r="AO62" i="1"/>
  <c r="BH62" i="1" s="1"/>
  <c r="AB62" i="1" s="1"/>
  <c r="AK62" i="1"/>
  <c r="AJ62" i="1"/>
  <c r="AH62" i="1"/>
  <c r="AG62" i="1"/>
  <c r="AF62" i="1"/>
  <c r="AE62" i="1"/>
  <c r="AD62" i="1"/>
  <c r="Z62" i="1"/>
  <c r="J62" i="1"/>
  <c r="AL62" i="1" s="1"/>
  <c r="H62" i="1"/>
  <c r="BJ59" i="1"/>
  <c r="BF59" i="1"/>
  <c r="BD59" i="1"/>
  <c r="AP59" i="1"/>
  <c r="AX59" i="1" s="1"/>
  <c r="AO59" i="1"/>
  <c r="AW59" i="1" s="1"/>
  <c r="AK59" i="1"/>
  <c r="AJ59" i="1"/>
  <c r="AH59" i="1"/>
  <c r="AG59" i="1"/>
  <c r="AF59" i="1"/>
  <c r="AC59" i="1"/>
  <c r="AB59" i="1"/>
  <c r="Z59" i="1"/>
  <c r="J59" i="1"/>
  <c r="AL59" i="1" s="1"/>
  <c r="I59" i="1"/>
  <c r="BJ57" i="1"/>
  <c r="BF57" i="1"/>
  <c r="BD57" i="1"/>
  <c r="AP57" i="1"/>
  <c r="AX57" i="1" s="1"/>
  <c r="AO57" i="1"/>
  <c r="BH57" i="1" s="1"/>
  <c r="AD57" i="1" s="1"/>
  <c r="AK57" i="1"/>
  <c r="AT55" i="1" s="1"/>
  <c r="AJ57" i="1"/>
  <c r="AH57" i="1"/>
  <c r="AG57" i="1"/>
  <c r="AF57" i="1"/>
  <c r="AC57" i="1"/>
  <c r="AB57" i="1"/>
  <c r="Z57" i="1"/>
  <c r="J57" i="1"/>
  <c r="AL57" i="1" s="1"/>
  <c r="BJ56" i="1"/>
  <c r="BF56" i="1"/>
  <c r="BD56" i="1"/>
  <c r="AX56" i="1"/>
  <c r="AW56" i="1"/>
  <c r="BC56" i="1" s="1"/>
  <c r="AP56" i="1"/>
  <c r="BI56" i="1" s="1"/>
  <c r="AE56" i="1" s="1"/>
  <c r="AO56" i="1"/>
  <c r="BH56" i="1" s="1"/>
  <c r="AD56" i="1" s="1"/>
  <c r="AK56" i="1"/>
  <c r="AJ56" i="1"/>
  <c r="AH56" i="1"/>
  <c r="AG56" i="1"/>
  <c r="AF56" i="1"/>
  <c r="AC56" i="1"/>
  <c r="AB56" i="1"/>
  <c r="Z56" i="1"/>
  <c r="J56" i="1"/>
  <c r="J55" i="1" s="1"/>
  <c r="G19" i="2" s="1"/>
  <c r="I19" i="2" s="1"/>
  <c r="I56" i="1"/>
  <c r="H56" i="1"/>
  <c r="AS55" i="1"/>
  <c r="BJ53" i="1"/>
  <c r="BF53" i="1"/>
  <c r="BD53" i="1"/>
  <c r="AW53" i="1"/>
  <c r="AP53" i="1"/>
  <c r="AX53" i="1" s="1"/>
  <c r="AO53" i="1"/>
  <c r="BH53" i="1" s="1"/>
  <c r="AD53" i="1" s="1"/>
  <c r="AK53" i="1"/>
  <c r="AT50" i="1" s="1"/>
  <c r="AJ53" i="1"/>
  <c r="AH53" i="1"/>
  <c r="AG53" i="1"/>
  <c r="AF53" i="1"/>
  <c r="AC53" i="1"/>
  <c r="AB53" i="1"/>
  <c r="Z53" i="1"/>
  <c r="J53" i="1"/>
  <c r="AL53" i="1" s="1"/>
  <c r="H53" i="1"/>
  <c r="BJ51" i="1"/>
  <c r="BF51" i="1"/>
  <c r="BD51" i="1"/>
  <c r="BC51" i="1"/>
  <c r="AX51" i="1"/>
  <c r="AW51" i="1"/>
  <c r="AV51" i="1" s="1"/>
  <c r="AP51" i="1"/>
  <c r="BI51" i="1" s="1"/>
  <c r="AE51" i="1" s="1"/>
  <c r="AO51" i="1"/>
  <c r="BH51" i="1" s="1"/>
  <c r="AD51" i="1" s="1"/>
  <c r="AK51" i="1"/>
  <c r="AJ51" i="1"/>
  <c r="AS50" i="1" s="1"/>
  <c r="AH51" i="1"/>
  <c r="AG51" i="1"/>
  <c r="AF51" i="1"/>
  <c r="AC51" i="1"/>
  <c r="AB51" i="1"/>
  <c r="Z51" i="1"/>
  <c r="J51" i="1"/>
  <c r="J50" i="1" s="1"/>
  <c r="G18" i="2" s="1"/>
  <c r="I18" i="2" s="1"/>
  <c r="I51" i="1"/>
  <c r="H51" i="1"/>
  <c r="BJ48" i="1"/>
  <c r="BF48" i="1"/>
  <c r="BD48" i="1"/>
  <c r="AP48" i="1"/>
  <c r="AX48" i="1" s="1"/>
  <c r="AO48" i="1"/>
  <c r="BH48" i="1" s="1"/>
  <c r="AD48" i="1" s="1"/>
  <c r="AK48" i="1"/>
  <c r="AT47" i="1" s="1"/>
  <c r="AJ48" i="1"/>
  <c r="AH48" i="1"/>
  <c r="AG48" i="1"/>
  <c r="AF48" i="1"/>
  <c r="AC48" i="1"/>
  <c r="AB48" i="1"/>
  <c r="Z48" i="1"/>
  <c r="J48" i="1"/>
  <c r="AL48" i="1" s="1"/>
  <c r="AU47" i="1" s="1"/>
  <c r="AS47" i="1"/>
  <c r="J47" i="1"/>
  <c r="G17" i="2" s="1"/>
  <c r="I17" i="2" s="1"/>
  <c r="BJ46" i="1"/>
  <c r="BF46" i="1"/>
  <c r="BD46" i="1"/>
  <c r="AP46" i="1"/>
  <c r="AX46" i="1" s="1"/>
  <c r="AO46" i="1"/>
  <c r="AW46" i="1" s="1"/>
  <c r="AK46" i="1"/>
  <c r="AJ46" i="1"/>
  <c r="AH46" i="1"/>
  <c r="AG46" i="1"/>
  <c r="AF46" i="1"/>
  <c r="AC46" i="1"/>
  <c r="AB46" i="1"/>
  <c r="Z46" i="1"/>
  <c r="J46" i="1"/>
  <c r="AL46" i="1" s="1"/>
  <c r="I46" i="1"/>
  <c r="BJ45" i="1"/>
  <c r="BF45" i="1"/>
  <c r="BD45" i="1"/>
  <c r="AW45" i="1"/>
  <c r="AP45" i="1"/>
  <c r="AX45" i="1" s="1"/>
  <c r="AO45" i="1"/>
  <c r="BH45" i="1" s="1"/>
  <c r="AD45" i="1" s="1"/>
  <c r="AK45" i="1"/>
  <c r="AT44" i="1" s="1"/>
  <c r="AJ45" i="1"/>
  <c r="AH45" i="1"/>
  <c r="AG45" i="1"/>
  <c r="AF45" i="1"/>
  <c r="AC45" i="1"/>
  <c r="AB45" i="1"/>
  <c r="Z45" i="1"/>
  <c r="J45" i="1"/>
  <c r="AL45" i="1" s="1"/>
  <c r="H45" i="1"/>
  <c r="J44" i="1"/>
  <c r="G16" i="2" s="1"/>
  <c r="I16" i="2" s="1"/>
  <c r="BJ43" i="1"/>
  <c r="BF43" i="1"/>
  <c r="BD43" i="1"/>
  <c r="AP43" i="1"/>
  <c r="AX43" i="1" s="1"/>
  <c r="AO43" i="1"/>
  <c r="AW43" i="1" s="1"/>
  <c r="AK43" i="1"/>
  <c r="AJ43" i="1"/>
  <c r="AH43" i="1"/>
  <c r="AG43" i="1"/>
  <c r="AF43" i="1"/>
  <c r="AE43" i="1"/>
  <c r="AD43" i="1"/>
  <c r="Z43" i="1"/>
  <c r="J43" i="1"/>
  <c r="AL43" i="1" s="1"/>
  <c r="I43" i="1"/>
  <c r="BJ42" i="1"/>
  <c r="BF42" i="1"/>
  <c r="BD42" i="1"/>
  <c r="AW42" i="1"/>
  <c r="AP42" i="1"/>
  <c r="AX42" i="1" s="1"/>
  <c r="AO42" i="1"/>
  <c r="BH42" i="1" s="1"/>
  <c r="AB42" i="1" s="1"/>
  <c r="AK42" i="1"/>
  <c r="AJ42" i="1"/>
  <c r="AH42" i="1"/>
  <c r="AG42" i="1"/>
  <c r="AF42" i="1"/>
  <c r="AE42" i="1"/>
  <c r="AD42" i="1"/>
  <c r="Z42" i="1"/>
  <c r="J42" i="1"/>
  <c r="AL42" i="1" s="1"/>
  <c r="H42" i="1"/>
  <c r="BJ40" i="1"/>
  <c r="BF40" i="1"/>
  <c r="BD40" i="1"/>
  <c r="AP40" i="1"/>
  <c r="BI40" i="1" s="1"/>
  <c r="AC40" i="1" s="1"/>
  <c r="AO40" i="1"/>
  <c r="BH40" i="1" s="1"/>
  <c r="AB40" i="1" s="1"/>
  <c r="AK40" i="1"/>
  <c r="AJ40" i="1"/>
  <c r="AS39" i="1" s="1"/>
  <c r="AH40" i="1"/>
  <c r="AG40" i="1"/>
  <c r="AF40" i="1"/>
  <c r="AE40" i="1"/>
  <c r="AD40" i="1"/>
  <c r="Z40" i="1"/>
  <c r="J40" i="1"/>
  <c r="J39" i="1" s="1"/>
  <c r="G15" i="2" s="1"/>
  <c r="I15" i="2" s="1"/>
  <c r="H40" i="1"/>
  <c r="BJ37" i="1"/>
  <c r="Z37" i="1" s="1"/>
  <c r="BF37" i="1"/>
  <c r="BD37" i="1"/>
  <c r="AP37" i="1"/>
  <c r="AX37" i="1" s="1"/>
  <c r="AO37" i="1"/>
  <c r="BH37" i="1" s="1"/>
  <c r="AK37" i="1"/>
  <c r="AJ37" i="1"/>
  <c r="AH37" i="1"/>
  <c r="AG37" i="1"/>
  <c r="AF37" i="1"/>
  <c r="AE37" i="1"/>
  <c r="AD37" i="1"/>
  <c r="AC37" i="1"/>
  <c r="AB37" i="1"/>
  <c r="J37" i="1"/>
  <c r="AL37" i="1" s="1"/>
  <c r="BJ35" i="1"/>
  <c r="Z35" i="1" s="1"/>
  <c r="BF35" i="1"/>
  <c r="BD35" i="1"/>
  <c r="AX35" i="1"/>
  <c r="BC35" i="1" s="1"/>
  <c r="AW35" i="1"/>
  <c r="AV35" i="1" s="1"/>
  <c r="AP35" i="1"/>
  <c r="BI35" i="1" s="1"/>
  <c r="AO35" i="1"/>
  <c r="BH35" i="1" s="1"/>
  <c r="AK35" i="1"/>
  <c r="AJ35" i="1"/>
  <c r="AH35" i="1"/>
  <c r="AG35" i="1"/>
  <c r="AF35" i="1"/>
  <c r="AE35" i="1"/>
  <c r="AD35" i="1"/>
  <c r="AC35" i="1"/>
  <c r="AB35" i="1"/>
  <c r="J35" i="1"/>
  <c r="AL35" i="1" s="1"/>
  <c r="H35" i="1"/>
  <c r="BJ31" i="1"/>
  <c r="BF31" i="1"/>
  <c r="BD31" i="1"/>
  <c r="AP31" i="1"/>
  <c r="BI31" i="1" s="1"/>
  <c r="AO31" i="1"/>
  <c r="BH31" i="1" s="1"/>
  <c r="AK31" i="1"/>
  <c r="AJ31" i="1"/>
  <c r="AH31" i="1"/>
  <c r="AG31" i="1"/>
  <c r="AF31" i="1"/>
  <c r="AE31" i="1"/>
  <c r="AD31" i="1"/>
  <c r="AC31" i="1"/>
  <c r="AB31" i="1"/>
  <c r="Z31" i="1"/>
  <c r="J31" i="1"/>
  <c r="AL31" i="1" s="1"/>
  <c r="I31" i="1"/>
  <c r="BJ29" i="1"/>
  <c r="Z29" i="1" s="1"/>
  <c r="BF29" i="1"/>
  <c r="BD29" i="1"/>
  <c r="AP29" i="1"/>
  <c r="BI29" i="1" s="1"/>
  <c r="AO29" i="1"/>
  <c r="BH29" i="1" s="1"/>
  <c r="AK29" i="1"/>
  <c r="AJ29" i="1"/>
  <c r="AS22" i="1" s="1"/>
  <c r="AH29" i="1"/>
  <c r="AG29" i="1"/>
  <c r="AF29" i="1"/>
  <c r="AE29" i="1"/>
  <c r="AD29" i="1"/>
  <c r="AC29" i="1"/>
  <c r="AB29" i="1"/>
  <c r="J29" i="1"/>
  <c r="AL29" i="1" s="1"/>
  <c r="H29" i="1"/>
  <c r="BJ27" i="1"/>
  <c r="BF27" i="1"/>
  <c r="BD27" i="1"/>
  <c r="AP27" i="1"/>
  <c r="BI27" i="1" s="1"/>
  <c r="AO27" i="1"/>
  <c r="AW27" i="1" s="1"/>
  <c r="AL27" i="1"/>
  <c r="AK27" i="1"/>
  <c r="AJ27" i="1"/>
  <c r="AH27" i="1"/>
  <c r="AG27" i="1"/>
  <c r="AF27" i="1"/>
  <c r="AE27" i="1"/>
  <c r="AD27" i="1"/>
  <c r="AC27" i="1"/>
  <c r="AB27" i="1"/>
  <c r="Z27" i="1"/>
  <c r="J27" i="1"/>
  <c r="I27" i="1"/>
  <c r="BJ25" i="1"/>
  <c r="BF25" i="1"/>
  <c r="BD25" i="1"/>
  <c r="AW25" i="1"/>
  <c r="AP25" i="1"/>
  <c r="AX25" i="1" s="1"/>
  <c r="AO25" i="1"/>
  <c r="H25" i="1" s="1"/>
  <c r="AL25" i="1"/>
  <c r="AK25" i="1"/>
  <c r="AJ25" i="1"/>
  <c r="AH25" i="1"/>
  <c r="AG25" i="1"/>
  <c r="AF25" i="1"/>
  <c r="AE25" i="1"/>
  <c r="AD25" i="1"/>
  <c r="AC25" i="1"/>
  <c r="AB25" i="1"/>
  <c r="Z25" i="1"/>
  <c r="J25" i="1"/>
  <c r="I25" i="1"/>
  <c r="BJ23" i="1"/>
  <c r="Z23" i="1" s="1"/>
  <c r="BF23" i="1"/>
  <c r="BD23" i="1"/>
  <c r="AX23" i="1"/>
  <c r="AP23" i="1"/>
  <c r="I23" i="1" s="1"/>
  <c r="AO23" i="1"/>
  <c r="AW23" i="1" s="1"/>
  <c r="AK23" i="1"/>
  <c r="AJ23" i="1"/>
  <c r="AH23" i="1"/>
  <c r="AG23" i="1"/>
  <c r="AF23" i="1"/>
  <c r="AE23" i="1"/>
  <c r="AD23" i="1"/>
  <c r="AC23" i="1"/>
  <c r="AB23" i="1"/>
  <c r="J23" i="1"/>
  <c r="H23" i="1"/>
  <c r="BJ20" i="1"/>
  <c r="BF20" i="1"/>
  <c r="BD20" i="1"/>
  <c r="AP20" i="1"/>
  <c r="AX20" i="1" s="1"/>
  <c r="AO20" i="1"/>
  <c r="H20" i="1" s="1"/>
  <c r="H19" i="1" s="1"/>
  <c r="E13" i="2" s="1"/>
  <c r="AL20" i="1"/>
  <c r="AK20" i="1"/>
  <c r="AT19" i="1" s="1"/>
  <c r="AJ20" i="1"/>
  <c r="AS19" i="1" s="1"/>
  <c r="AH20" i="1"/>
  <c r="AG20" i="1"/>
  <c r="AF20" i="1"/>
  <c r="AE20" i="1"/>
  <c r="AD20" i="1"/>
  <c r="Z20" i="1"/>
  <c r="J20" i="1"/>
  <c r="AU19" i="1"/>
  <c r="J19" i="1"/>
  <c r="G13" i="2" s="1"/>
  <c r="I13" i="2" s="1"/>
  <c r="BJ17" i="1"/>
  <c r="BF17" i="1"/>
  <c r="BD17" i="1"/>
  <c r="AX17" i="1"/>
  <c r="AP17" i="1"/>
  <c r="BI17" i="1" s="1"/>
  <c r="AC17" i="1" s="1"/>
  <c r="AO17" i="1"/>
  <c r="AW17" i="1" s="1"/>
  <c r="AL17" i="1"/>
  <c r="AK17" i="1"/>
  <c r="AJ17" i="1"/>
  <c r="AH17" i="1"/>
  <c r="AG17" i="1"/>
  <c r="AF17" i="1"/>
  <c r="AE17" i="1"/>
  <c r="AD17" i="1"/>
  <c r="Z17" i="1"/>
  <c r="J17" i="1"/>
  <c r="I17" i="1"/>
  <c r="H17" i="1"/>
  <c r="BJ14" i="1"/>
  <c r="BF14" i="1"/>
  <c r="BD14" i="1"/>
  <c r="AP14" i="1"/>
  <c r="AX14" i="1" s="1"/>
  <c r="AO14" i="1"/>
  <c r="H14" i="1" s="1"/>
  <c r="H13" i="1" s="1"/>
  <c r="AK14" i="1"/>
  <c r="C28" i="3" s="1"/>
  <c r="F28" i="3" s="1"/>
  <c r="AJ14" i="1"/>
  <c r="AH14" i="1"/>
  <c r="AG14" i="1"/>
  <c r="AF14" i="1"/>
  <c r="AE14" i="1"/>
  <c r="AD14" i="1"/>
  <c r="Z14" i="1"/>
  <c r="J14" i="1"/>
  <c r="AL14" i="1" s="1"/>
  <c r="I14" i="1"/>
  <c r="I13" i="1" s="1"/>
  <c r="AU1" i="1"/>
  <c r="AT1" i="1"/>
  <c r="AS1" i="1"/>
  <c r="J22" i="1" l="1"/>
  <c r="G14" i="2" s="1"/>
  <c r="I14" i="2" s="1"/>
  <c r="H27" i="1"/>
  <c r="AV56" i="1"/>
  <c r="AS230" i="1"/>
  <c r="J230" i="1"/>
  <c r="G32" i="2" s="1"/>
  <c r="I32" i="2" s="1"/>
  <c r="AV312" i="1"/>
  <c r="AU366" i="1"/>
  <c r="AV445" i="1"/>
  <c r="AS517" i="1"/>
  <c r="BI564" i="1"/>
  <c r="AE564" i="1" s="1"/>
  <c r="I564" i="1"/>
  <c r="BI595" i="1"/>
  <c r="AE595" i="1" s="1"/>
  <c r="AX595" i="1"/>
  <c r="I595" i="1"/>
  <c r="AX647" i="1"/>
  <c r="BI647" i="1"/>
  <c r="AE647" i="1" s="1"/>
  <c r="AU666" i="1"/>
  <c r="BC681" i="1"/>
  <c r="AV681" i="1"/>
  <c r="BH731" i="1"/>
  <c r="AD731" i="1" s="1"/>
  <c r="AW731" i="1"/>
  <c r="H916" i="1"/>
  <c r="AW916" i="1"/>
  <c r="AV916" i="1" s="1"/>
  <c r="BH965" i="1"/>
  <c r="AD965" i="1" s="1"/>
  <c r="AW965" i="1"/>
  <c r="BI988" i="1"/>
  <c r="AE988" i="1" s="1"/>
  <c r="AX988" i="1"/>
  <c r="BI1208" i="1"/>
  <c r="AG1208" i="1" s="1"/>
  <c r="I1208" i="1"/>
  <c r="AX1208" i="1"/>
  <c r="I71" i="1"/>
  <c r="AX113" i="1"/>
  <c r="H131" i="1"/>
  <c r="H119" i="1" s="1"/>
  <c r="E26" i="2" s="1"/>
  <c r="I138" i="1"/>
  <c r="AX138" i="1"/>
  <c r="I209" i="1"/>
  <c r="I278" i="1"/>
  <c r="AS292" i="1"/>
  <c r="AV317" i="1"/>
  <c r="H355" i="1"/>
  <c r="H360" i="1"/>
  <c r="H367" i="1"/>
  <c r="AT392" i="1"/>
  <c r="AU392" i="1"/>
  <c r="I424" i="1"/>
  <c r="I479" i="1"/>
  <c r="I500" i="1"/>
  <c r="I513" i="1"/>
  <c r="AX513" i="1"/>
  <c r="BH580" i="1"/>
  <c r="AD580" i="1" s="1"/>
  <c r="H580" i="1"/>
  <c r="H621" i="1"/>
  <c r="AW621" i="1"/>
  <c r="I653" i="1"/>
  <c r="BH675" i="1"/>
  <c r="AD675" i="1" s="1"/>
  <c r="AW675" i="1"/>
  <c r="AV675" i="1" s="1"/>
  <c r="H675" i="1"/>
  <c r="AL799" i="1"/>
  <c r="AU798" i="1" s="1"/>
  <c r="J798" i="1"/>
  <c r="G52" i="2" s="1"/>
  <c r="I52" i="2" s="1"/>
  <c r="AV854" i="1"/>
  <c r="BC854" i="1"/>
  <c r="BH870" i="1"/>
  <c r="AB870" i="1" s="1"/>
  <c r="AW870" i="1"/>
  <c r="I988" i="1"/>
  <c r="I113" i="1"/>
  <c r="BH613" i="1"/>
  <c r="AD613" i="1" s="1"/>
  <c r="H613" i="1"/>
  <c r="J13" i="1"/>
  <c r="J12" i="1" s="1"/>
  <c r="G11" i="2" s="1"/>
  <c r="AW31" i="1"/>
  <c r="BC31" i="1" s="1"/>
  <c r="AW40" i="1"/>
  <c r="H48" i="1"/>
  <c r="H47" i="1" s="1"/>
  <c r="E17" i="2" s="1"/>
  <c r="AW48" i="1"/>
  <c r="BC48" i="1" s="1"/>
  <c r="AW71" i="1"/>
  <c r="AT90" i="1"/>
  <c r="AX108" i="1"/>
  <c r="I131" i="1"/>
  <c r="AX131" i="1"/>
  <c r="I145" i="1"/>
  <c r="I144" i="1" s="1"/>
  <c r="F28" i="2" s="1"/>
  <c r="H158" i="1"/>
  <c r="I231" i="1"/>
  <c r="AW338" i="1"/>
  <c r="I347" i="1"/>
  <c r="AW347" i="1"/>
  <c r="AX355" i="1"/>
  <c r="AX360" i="1"/>
  <c r="J366" i="1"/>
  <c r="G37" i="2" s="1"/>
  <c r="I37" i="2" s="1"/>
  <c r="AX367" i="1"/>
  <c r="H415" i="1"/>
  <c r="AW421" i="1"/>
  <c r="AU470" i="1"/>
  <c r="AX479" i="1"/>
  <c r="BC479" i="1" s="1"/>
  <c r="H483" i="1"/>
  <c r="AW483" i="1"/>
  <c r="H493" i="1"/>
  <c r="AW497" i="1"/>
  <c r="AS507" i="1"/>
  <c r="AW558" i="1"/>
  <c r="AW589" i="1"/>
  <c r="BC589" i="1" s="1"/>
  <c r="I598" i="1"/>
  <c r="AX598" i="1"/>
  <c r="AV598" i="1" s="1"/>
  <c r="AW613" i="1"/>
  <c r="BH727" i="1"/>
  <c r="AD727" i="1" s="1"/>
  <c r="AW727" i="1"/>
  <c r="AV727" i="1" s="1"/>
  <c r="H727" i="1"/>
  <c r="BH825" i="1"/>
  <c r="AW825" i="1"/>
  <c r="H825" i="1"/>
  <c r="BI870" i="1"/>
  <c r="AC870" i="1" s="1"/>
  <c r="I870" i="1"/>
  <c r="J907" i="1"/>
  <c r="G69" i="2" s="1"/>
  <c r="I69" i="2" s="1"/>
  <c r="AL908" i="1"/>
  <c r="AU907" i="1" s="1"/>
  <c r="AW14" i="1"/>
  <c r="AV14" i="1" s="1"/>
  <c r="AT22" i="1"/>
  <c r="AX31" i="1"/>
  <c r="AX40" i="1"/>
  <c r="AV45" i="1"/>
  <c r="AV53" i="1"/>
  <c r="AW77" i="1"/>
  <c r="BC77" i="1" s="1"/>
  <c r="AW158" i="1"/>
  <c r="BC158" i="1" s="1"/>
  <c r="BI209" i="1"/>
  <c r="AC209" i="1" s="1"/>
  <c r="BI240" i="1"/>
  <c r="AC240" i="1" s="1"/>
  <c r="BI243" i="1"/>
  <c r="AC243" i="1" s="1"/>
  <c r="AX347" i="1"/>
  <c r="H351" i="1"/>
  <c r="AW351" i="1"/>
  <c r="J392" i="1"/>
  <c r="G38" i="2" s="1"/>
  <c r="I38" i="2" s="1"/>
  <c r="AX421" i="1"/>
  <c r="H461" i="1"/>
  <c r="AS470" i="1"/>
  <c r="AX483" i="1"/>
  <c r="AV483" i="1" s="1"/>
  <c r="AX493" i="1"/>
  <c r="AX497" i="1"/>
  <c r="AX542" i="1"/>
  <c r="AX558" i="1"/>
  <c r="I633" i="1"/>
  <c r="AX633" i="1"/>
  <c r="BC633" i="1" s="1"/>
  <c r="AW649" i="1"/>
  <c r="BH649" i="1"/>
  <c r="AD649" i="1" s="1"/>
  <c r="AU841" i="1"/>
  <c r="H870" i="1"/>
  <c r="AX1192" i="1"/>
  <c r="BI1192" i="1"/>
  <c r="AG1192" i="1" s="1"/>
  <c r="I1231" i="1"/>
  <c r="AX1231" i="1"/>
  <c r="AS44" i="1"/>
  <c r="AW85" i="1"/>
  <c r="AV91" i="1"/>
  <c r="AS157" i="1"/>
  <c r="AV343" i="1"/>
  <c r="AS344" i="1"/>
  <c r="AV351" i="1"/>
  <c r="AX409" i="1"/>
  <c r="AT411" i="1"/>
  <c r="I443" i="1"/>
  <c r="AW443" i="1"/>
  <c r="AX461" i="1"/>
  <c r="H471" i="1"/>
  <c r="AW489" i="1"/>
  <c r="AX509" i="1"/>
  <c r="AW529" i="1"/>
  <c r="I535" i="1"/>
  <c r="AW535" i="1"/>
  <c r="BC535" i="1" s="1"/>
  <c r="BH624" i="1"/>
  <c r="AD624" i="1" s="1"/>
  <c r="H624" i="1"/>
  <c r="H649" i="1"/>
  <c r="BI649" i="1"/>
  <c r="AE649" i="1" s="1"/>
  <c r="AX649" i="1"/>
  <c r="BI975" i="1"/>
  <c r="AE975" i="1" s="1"/>
  <c r="I975" i="1"/>
  <c r="AX975" i="1"/>
  <c r="AW1022" i="1"/>
  <c r="H1022" i="1"/>
  <c r="AW1118" i="1"/>
  <c r="H1118" i="1"/>
  <c r="H1117" i="1" s="1"/>
  <c r="E86" i="2" s="1"/>
  <c r="AW1213" i="1"/>
  <c r="BH1213" i="1"/>
  <c r="AF1213" i="1" s="1"/>
  <c r="H497" i="1"/>
  <c r="AW20" i="1"/>
  <c r="H37" i="1"/>
  <c r="AT39" i="1"/>
  <c r="AU44" i="1"/>
  <c r="I64" i="1"/>
  <c r="H82" i="1"/>
  <c r="AW82" i="1"/>
  <c r="AV82" i="1" s="1"/>
  <c r="AX85" i="1"/>
  <c r="H91" i="1"/>
  <c r="AW91" i="1"/>
  <c r="AS90" i="1"/>
  <c r="H114" i="1"/>
  <c r="AW114" i="1"/>
  <c r="AT119" i="1"/>
  <c r="H141" i="1"/>
  <c r="H137" i="1" s="1"/>
  <c r="E27" i="2" s="1"/>
  <c r="AW141" i="1"/>
  <c r="AV141" i="1" s="1"/>
  <c r="BH165" i="1"/>
  <c r="AB165" i="1" s="1"/>
  <c r="AX213" i="1"/>
  <c r="AV213" i="1" s="1"/>
  <c r="AW255" i="1"/>
  <c r="AX264" i="1"/>
  <c r="AW267" i="1"/>
  <c r="AT272" i="1"/>
  <c r="BI278" i="1"/>
  <c r="AC278" i="1" s="1"/>
  <c r="I319" i="1"/>
  <c r="AW319" i="1"/>
  <c r="AX343" i="1"/>
  <c r="AW393" i="1"/>
  <c r="H428" i="1"/>
  <c r="I438" i="1"/>
  <c r="AX443" i="1"/>
  <c r="BC443" i="1" s="1"/>
  <c r="H451" i="1"/>
  <c r="AW451" i="1"/>
  <c r="H466" i="1"/>
  <c r="J470" i="1"/>
  <c r="G44" i="2" s="1"/>
  <c r="I44" i="2" s="1"/>
  <c r="AX471" i="1"/>
  <c r="H502" i="1"/>
  <c r="I649" i="1"/>
  <c r="BH669" i="1"/>
  <c r="AD669" i="1" s="1"/>
  <c r="AW669" i="1"/>
  <c r="BH984" i="1"/>
  <c r="AD984" i="1" s="1"/>
  <c r="AW984" i="1"/>
  <c r="AV984" i="1" s="1"/>
  <c r="H984" i="1"/>
  <c r="I1144" i="1"/>
  <c r="AX1144" i="1"/>
  <c r="AT1153" i="1"/>
  <c r="AT1217" i="1"/>
  <c r="I40" i="1"/>
  <c r="I20" i="1"/>
  <c r="I19" i="1" s="1"/>
  <c r="F13" i="2" s="1"/>
  <c r="AW37" i="1"/>
  <c r="BC37" i="1" s="1"/>
  <c r="AL51" i="1"/>
  <c r="H57" i="1"/>
  <c r="AW57" i="1"/>
  <c r="BC57" i="1" s="1"/>
  <c r="J90" i="1"/>
  <c r="G24" i="2" s="1"/>
  <c r="I24" i="2" s="1"/>
  <c r="AX114" i="1"/>
  <c r="BC114" i="1" s="1"/>
  <c r="H134" i="1"/>
  <c r="AW134" i="1"/>
  <c r="AV134" i="1" s="1"/>
  <c r="AX141" i="1"/>
  <c r="AL152" i="1"/>
  <c r="AU151" i="1" s="1"/>
  <c r="BI165" i="1"/>
  <c r="AC165" i="1" s="1"/>
  <c r="H173" i="1"/>
  <c r="BH246" i="1"/>
  <c r="AB246" i="1" s="1"/>
  <c r="AX267" i="1"/>
  <c r="BH271" i="1"/>
  <c r="AB271" i="1" s="1"/>
  <c r="AW315" i="1"/>
  <c r="AT344" i="1"/>
  <c r="AW357" i="1"/>
  <c r="AW363" i="1"/>
  <c r="AW377" i="1"/>
  <c r="AS402" i="1"/>
  <c r="AX451" i="1"/>
  <c r="AX665" i="1"/>
  <c r="I665" i="1"/>
  <c r="BI665" i="1"/>
  <c r="AX787" i="1"/>
  <c r="I787" i="1"/>
  <c r="BH820" i="1"/>
  <c r="AW820" i="1"/>
  <c r="BH920" i="1"/>
  <c r="AD920" i="1" s="1"/>
  <c r="H920" i="1"/>
  <c r="AV48" i="1"/>
  <c r="H108" i="1"/>
  <c r="AV25" i="1"/>
  <c r="AV42" i="1"/>
  <c r="H50" i="1"/>
  <c r="E18" i="2" s="1"/>
  <c r="AV111" i="1"/>
  <c r="J119" i="1"/>
  <c r="G26" i="2" s="1"/>
  <c r="I26" i="2" s="1"/>
  <c r="BC134" i="1"/>
  <c r="BH231" i="1"/>
  <c r="AB231" i="1" s="1"/>
  <c r="BI246" i="1"/>
  <c r="AC246" i="1" s="1"/>
  <c r="AX311" i="1"/>
  <c r="AU344" i="1"/>
  <c r="I419" i="1"/>
  <c r="I485" i="1"/>
  <c r="I495" i="1"/>
  <c r="AV495" i="1"/>
  <c r="AT507" i="1"/>
  <c r="BC514" i="1"/>
  <c r="H643" i="1"/>
  <c r="AW643" i="1"/>
  <c r="BI820" i="1"/>
  <c r="AX820" i="1"/>
  <c r="I865" i="1"/>
  <c r="F62" i="2" s="1"/>
  <c r="BI866" i="1"/>
  <c r="AC866" i="1" s="1"/>
  <c r="AX866" i="1"/>
  <c r="AV866" i="1" s="1"/>
  <c r="AV956" i="1"/>
  <c r="BC956" i="1"/>
  <c r="BC1142" i="1"/>
  <c r="AV1142" i="1"/>
  <c r="BH1182" i="1"/>
  <c r="AB1182" i="1" s="1"/>
  <c r="H1182" i="1"/>
  <c r="AX29" i="1"/>
  <c r="I35" i="1"/>
  <c r="AL56" i="1"/>
  <c r="J147" i="1"/>
  <c r="G29" i="2" s="1"/>
  <c r="I29" i="2" s="1"/>
  <c r="BI213" i="1"/>
  <c r="AC213" i="1" s="1"/>
  <c r="H273" i="1"/>
  <c r="AW273" i="1"/>
  <c r="AX282" i="1"/>
  <c r="AV282" i="1" s="1"/>
  <c r="J402" i="1"/>
  <c r="G39" i="2" s="1"/>
  <c r="I39" i="2" s="1"/>
  <c r="AW406" i="1"/>
  <c r="AX419" i="1"/>
  <c r="AV419" i="1" s="1"/>
  <c r="H422" i="1"/>
  <c r="AW422" i="1"/>
  <c r="AW481" i="1"/>
  <c r="AX495" i="1"/>
  <c r="H498" i="1"/>
  <c r="AW498" i="1"/>
  <c r="BC498" i="1" s="1"/>
  <c r="AL508" i="1"/>
  <c r="AU507" i="1" s="1"/>
  <c r="H511" i="1"/>
  <c r="AW545" i="1"/>
  <c r="AV545" i="1" s="1"/>
  <c r="I554" i="1"/>
  <c r="AX554" i="1"/>
  <c r="I561" i="1"/>
  <c r="AW561" i="1"/>
  <c r="I812" i="1"/>
  <c r="AX812" i="1"/>
  <c r="BH831" i="1"/>
  <c r="AB831" i="1" s="1"/>
  <c r="AW831" i="1"/>
  <c r="H831" i="1"/>
  <c r="BH1190" i="1"/>
  <c r="AF1190" i="1" s="1"/>
  <c r="H1190" i="1"/>
  <c r="AW1190" i="1"/>
  <c r="BI1228" i="1"/>
  <c r="AX1228" i="1"/>
  <c r="I1228" i="1"/>
  <c r="BI1237" i="1"/>
  <c r="I1237" i="1"/>
  <c r="AX1237" i="1"/>
  <c r="AV1237" i="1" s="1"/>
  <c r="BH1102" i="1"/>
  <c r="AB1102" i="1" s="1"/>
  <c r="H1102" i="1"/>
  <c r="AL23" i="1"/>
  <c r="AU22" i="1" s="1"/>
  <c r="AX70" i="1"/>
  <c r="AW120" i="1"/>
  <c r="AS137" i="1"/>
  <c r="AX166" i="1"/>
  <c r="AW184" i="1"/>
  <c r="AW197" i="1"/>
  <c r="AV197" i="1" s="1"/>
  <c r="BH227" i="1"/>
  <c r="AB227" i="1" s="1"/>
  <c r="H238" i="1"/>
  <c r="AL243" i="1"/>
  <c r="H252" i="1"/>
  <c r="I265" i="1"/>
  <c r="AW265" i="1"/>
  <c r="AW293" i="1"/>
  <c r="H323" i="1"/>
  <c r="H345" i="1"/>
  <c r="AV349" i="1"/>
  <c r="AX406" i="1"/>
  <c r="AV422" i="1"/>
  <c r="I892" i="1"/>
  <c r="BI892" i="1"/>
  <c r="AC892" i="1" s="1"/>
  <c r="AS907" i="1"/>
  <c r="AS13" i="1"/>
  <c r="AL40" i="1"/>
  <c r="AT61" i="1"/>
  <c r="J86" i="1"/>
  <c r="G22" i="2" s="1"/>
  <c r="I22" i="2" s="1"/>
  <c r="AS119" i="1"/>
  <c r="I223" i="1"/>
  <c r="I260" i="1"/>
  <c r="AX265" i="1"/>
  <c r="AX323" i="1"/>
  <c r="J344" i="1"/>
  <c r="G35" i="2" s="1"/>
  <c r="I35" i="2" s="1"/>
  <c r="AX345" i="1"/>
  <c r="AX349" i="1"/>
  <c r="BC349" i="1" s="1"/>
  <c r="AT470" i="1"/>
  <c r="AV564" i="1"/>
  <c r="AW1150" i="1"/>
  <c r="H1150" i="1"/>
  <c r="BI1215" i="1"/>
  <c r="AG1215" i="1" s="1"/>
  <c r="I1215" i="1"/>
  <c r="AX1215" i="1"/>
  <c r="AV539" i="1"/>
  <c r="AS786" i="1"/>
  <c r="I887" i="1"/>
  <c r="J904" i="1"/>
  <c r="G68" i="2" s="1"/>
  <c r="I68" i="2" s="1"/>
  <c r="I916" i="1"/>
  <c r="AX920" i="1"/>
  <c r="I935" i="1"/>
  <c r="I965" i="1"/>
  <c r="AX1034" i="1"/>
  <c r="AV1034" i="1" s="1"/>
  <c r="BH1038" i="1"/>
  <c r="AB1038" i="1" s="1"/>
  <c r="AS1051" i="1"/>
  <c r="BH1053" i="1"/>
  <c r="AB1053" i="1" s="1"/>
  <c r="H1060" i="1"/>
  <c r="AV1080" i="1"/>
  <c r="I1091" i="1"/>
  <c r="AX1091" i="1"/>
  <c r="H1097" i="1"/>
  <c r="BC1113" i="1"/>
  <c r="BH1133" i="1"/>
  <c r="BI1158" i="1"/>
  <c r="AG1158" i="1" s="1"/>
  <c r="I1195" i="1"/>
  <c r="AX1195" i="1"/>
  <c r="I1206" i="1"/>
  <c r="AX1206" i="1"/>
  <c r="I1213" i="1"/>
  <c r="AX1213" i="1"/>
  <c r="AW1215" i="1"/>
  <c r="I1222" i="1"/>
  <c r="H1233" i="1"/>
  <c r="AT685" i="1"/>
  <c r="AS685" i="1"/>
  <c r="AS801" i="1"/>
  <c r="H875" i="1"/>
  <c r="H872" i="1" s="1"/>
  <c r="E63" i="2" s="1"/>
  <c r="AT878" i="1"/>
  <c r="AW899" i="1"/>
  <c r="AX916" i="1"/>
  <c r="AX924" i="1"/>
  <c r="AW960" i="1"/>
  <c r="H979" i="1"/>
  <c r="AW979" i="1"/>
  <c r="AX984" i="1"/>
  <c r="BH1002" i="1"/>
  <c r="AD1002" i="1" s="1"/>
  <c r="I1018" i="1"/>
  <c r="AX1018" i="1"/>
  <c r="AW1028" i="1"/>
  <c r="AV1028" i="1" s="1"/>
  <c r="AT1051" i="1"/>
  <c r="AW1065" i="1"/>
  <c r="AW1070" i="1"/>
  <c r="AV1097" i="1"/>
  <c r="AS1104" i="1"/>
  <c r="AW1107" i="1"/>
  <c r="H1112" i="1"/>
  <c r="E85" i="2" s="1"/>
  <c r="AX1118" i="1"/>
  <c r="AW1132" i="1"/>
  <c r="AW1156" i="1"/>
  <c r="H1199" i="1"/>
  <c r="AW1199" i="1"/>
  <c r="AV1199" i="1" s="1"/>
  <c r="AW1201" i="1"/>
  <c r="I1230" i="1"/>
  <c r="I1233" i="1"/>
  <c r="BC1233" i="1"/>
  <c r="AW1234" i="1"/>
  <c r="H604" i="1"/>
  <c r="I615" i="1"/>
  <c r="AX615" i="1"/>
  <c r="I638" i="1"/>
  <c r="AX638" i="1"/>
  <c r="H656" i="1"/>
  <c r="H663" i="1"/>
  <c r="H720" i="1"/>
  <c r="AT730" i="1"/>
  <c r="J801" i="1"/>
  <c r="G53" i="2" s="1"/>
  <c r="I53" i="2" s="1"/>
  <c r="I875" i="1"/>
  <c r="AS883" i="1"/>
  <c r="BI942" i="1"/>
  <c r="AE942" i="1" s="1"/>
  <c r="J1057" i="1"/>
  <c r="AW1060" i="1"/>
  <c r="BI1071" i="1"/>
  <c r="AC1071" i="1" s="1"/>
  <c r="AS1130" i="1"/>
  <c r="I1137" i="1"/>
  <c r="BH1144" i="1"/>
  <c r="AB1144" i="1" s="1"/>
  <c r="BH1228" i="1"/>
  <c r="AU801" i="1"/>
  <c r="I811" i="1"/>
  <c r="F54" i="2" s="1"/>
  <c r="BI920" i="1"/>
  <c r="AE920" i="1" s="1"/>
  <c r="H990" i="1"/>
  <c r="I1014" i="1"/>
  <c r="AX1014" i="1"/>
  <c r="AT1057" i="1"/>
  <c r="I1078" i="1"/>
  <c r="H1086" i="1"/>
  <c r="AX1089" i="1"/>
  <c r="BC1141" i="1"/>
  <c r="H1147" i="1"/>
  <c r="AX1151" i="1"/>
  <c r="AV1166" i="1"/>
  <c r="H1177" i="1"/>
  <c r="H1183" i="1"/>
  <c r="H1193" i="1"/>
  <c r="AX1204" i="1"/>
  <c r="AX1211" i="1"/>
  <c r="BC1218" i="1"/>
  <c r="AX1227" i="1"/>
  <c r="BC1227" i="1" s="1"/>
  <c r="AS1226" i="1"/>
  <c r="BC1230" i="1"/>
  <c r="AX1239" i="1"/>
  <c r="BC610" i="1"/>
  <c r="AV647" i="1"/>
  <c r="H789" i="1"/>
  <c r="AT786" i="1"/>
  <c r="AS822" i="1"/>
  <c r="I862" i="1"/>
  <c r="AW875" i="1"/>
  <c r="BH960" i="1"/>
  <c r="AT962" i="1"/>
  <c r="AW990" i="1"/>
  <c r="AW1031" i="1"/>
  <c r="H1052" i="1"/>
  <c r="H1051" i="1" s="1"/>
  <c r="E76" i="2" s="1"/>
  <c r="AW1052" i="1"/>
  <c r="AW1082" i="1"/>
  <c r="AW1092" i="1"/>
  <c r="BH1107" i="1"/>
  <c r="AB1107" i="1" s="1"/>
  <c r="AU1179" i="1"/>
  <c r="BH1237" i="1"/>
  <c r="BC647" i="1"/>
  <c r="H672" i="1"/>
  <c r="H666" i="1" s="1"/>
  <c r="E47" i="2" s="1"/>
  <c r="I735" i="1"/>
  <c r="AS857" i="1"/>
  <c r="AX862" i="1"/>
  <c r="AV862" i="1" s="1"/>
  <c r="H868" i="1"/>
  <c r="BC890" i="1"/>
  <c r="H927" i="1"/>
  <c r="AX940" i="1"/>
  <c r="AV940" i="1" s="1"/>
  <c r="AW958" i="1"/>
  <c r="I986" i="1"/>
  <c r="AW986" i="1"/>
  <c r="H1000" i="1"/>
  <c r="H1036" i="1"/>
  <c r="AW1036" i="1"/>
  <c r="AW1040" i="1"/>
  <c r="AV1040" i="1" s="1"/>
  <c r="AX1046" i="1"/>
  <c r="AW1054" i="1"/>
  <c r="AV1054" i="1" s="1"/>
  <c r="BH1070" i="1"/>
  <c r="AB1070" i="1" s="1"/>
  <c r="AX1078" i="1"/>
  <c r="BC1078" i="1" s="1"/>
  <c r="AX1092" i="1"/>
  <c r="AW1098" i="1"/>
  <c r="H1105" i="1"/>
  <c r="AT1104" i="1"/>
  <c r="AW1115" i="1"/>
  <c r="BC1115" i="1" s="1"/>
  <c r="AW1137" i="1"/>
  <c r="AX1169" i="1"/>
  <c r="I1180" i="1"/>
  <c r="AW1183" i="1"/>
  <c r="AX1191" i="1"/>
  <c r="H1202" i="1"/>
  <c r="AX1202" i="1"/>
  <c r="H1207" i="1"/>
  <c r="I1209" i="1"/>
  <c r="H1214" i="1"/>
  <c r="AW1214" i="1"/>
  <c r="AV1214" i="1" s="1"/>
  <c r="I1229" i="1"/>
  <c r="I1226" i="1" s="1"/>
  <c r="AV617" i="1"/>
  <c r="AV641" i="1"/>
  <c r="H822" i="1"/>
  <c r="J857" i="1"/>
  <c r="G61" i="2" s="1"/>
  <c r="I61" i="2" s="1"/>
  <c r="AW868" i="1"/>
  <c r="BC868" i="1" s="1"/>
  <c r="AW922" i="1"/>
  <c r="AW927" i="1"/>
  <c r="AW933" i="1"/>
  <c r="AX958" i="1"/>
  <c r="I981" i="1"/>
  <c r="AW1004" i="1"/>
  <c r="AV1004" i="1" s="1"/>
  <c r="AV1020" i="1"/>
  <c r="AS1033" i="1"/>
  <c r="J1104" i="1"/>
  <c r="G82" i="2" s="1"/>
  <c r="I82" i="2" s="1"/>
  <c r="BH1126" i="1"/>
  <c r="AB1126" i="1" s="1"/>
  <c r="AS1127" i="1"/>
  <c r="H1133" i="1"/>
  <c r="AX1137" i="1"/>
  <c r="AW1155" i="1"/>
  <c r="AT1172" i="1"/>
  <c r="AV1180" i="1"/>
  <c r="AW1200" i="1"/>
  <c r="AW1207" i="1"/>
  <c r="AV1207" i="1" s="1"/>
  <c r="AX1214" i="1"/>
  <c r="BC1214" i="1" s="1"/>
  <c r="AW1221" i="1"/>
  <c r="AV868" i="1"/>
  <c r="I872" i="1"/>
  <c r="F63" i="2" s="1"/>
  <c r="J937" i="1"/>
  <c r="G71" i="2" s="1"/>
  <c r="I71" i="2" s="1"/>
  <c r="I1071" i="1"/>
  <c r="AT1139" i="1"/>
  <c r="AS1149" i="1"/>
  <c r="BC704" i="1"/>
  <c r="I725" i="1"/>
  <c r="AX725" i="1"/>
  <c r="H758" i="1"/>
  <c r="AX823" i="1"/>
  <c r="I828" i="1"/>
  <c r="AX828" i="1"/>
  <c r="AS841" i="1"/>
  <c r="AV861" i="1"/>
  <c r="AW873" i="1"/>
  <c r="H884" i="1"/>
  <c r="AW884" i="1"/>
  <c r="AW902" i="1"/>
  <c r="AX914" i="1"/>
  <c r="I938" i="1"/>
  <c r="AW938" i="1"/>
  <c r="AV938" i="1" s="1"/>
  <c r="AX963" i="1"/>
  <c r="AX977" i="1"/>
  <c r="BC977" i="1" s="1"/>
  <c r="AW981" i="1"/>
  <c r="H992" i="1"/>
  <c r="AX1016" i="1"/>
  <c r="BC1016" i="1" s="1"/>
  <c r="AW1030" i="1"/>
  <c r="I1053" i="1"/>
  <c r="AW1053" i="1"/>
  <c r="AX1059" i="1"/>
  <c r="H1061" i="1"/>
  <c r="AW1061" i="1"/>
  <c r="AV1061" i="1" s="1"/>
  <c r="AV1066" i="1"/>
  <c r="AX1073" i="1"/>
  <c r="H1081" i="1"/>
  <c r="AW1090" i="1"/>
  <c r="AW1121" i="1"/>
  <c r="AT1149" i="1"/>
  <c r="I1152" i="1"/>
  <c r="AW1152" i="1"/>
  <c r="I1176" i="1"/>
  <c r="AV1176" i="1"/>
  <c r="BI1191" i="1"/>
  <c r="AG1191" i="1" s="1"/>
  <c r="AW1194" i="1"/>
  <c r="I1198" i="1"/>
  <c r="AX1198" i="1"/>
  <c r="BI1202" i="1"/>
  <c r="AG1202" i="1" s="1"/>
  <c r="AW1216" i="1"/>
  <c r="AX1235" i="1"/>
  <c r="AV873" i="1"/>
  <c r="AU883" i="1"/>
  <c r="AT983" i="1"/>
  <c r="AS1057" i="1"/>
  <c r="AS1074" i="1"/>
  <c r="AV1081" i="1"/>
  <c r="AW969" i="1"/>
  <c r="BC969" i="1" s="1"/>
  <c r="AW975" i="1"/>
  <c r="AV975" i="1" s="1"/>
  <c r="AX1048" i="1"/>
  <c r="AU1057" i="1"/>
  <c r="AX1167" i="1"/>
  <c r="AX1170" i="1"/>
  <c r="AX1178" i="1"/>
  <c r="AW1188" i="1"/>
  <c r="AW1208" i="1"/>
  <c r="H1210" i="1"/>
  <c r="AW1219" i="1"/>
  <c r="BC59" i="1"/>
  <c r="AV59" i="1"/>
  <c r="AV131" i="1"/>
  <c r="BC131" i="1"/>
  <c r="E12" i="2"/>
  <c r="AV20" i="1"/>
  <c r="BC62" i="1"/>
  <c r="BC82" i="1"/>
  <c r="AV120" i="1"/>
  <c r="BC23" i="1"/>
  <c r="AV23" i="1"/>
  <c r="BC43" i="1"/>
  <c r="AV43" i="1"/>
  <c r="BC46" i="1"/>
  <c r="AV46" i="1"/>
  <c r="AV71" i="1"/>
  <c r="AV145" i="1"/>
  <c r="BC145" i="1"/>
  <c r="BC42" i="1"/>
  <c r="BC45" i="1"/>
  <c r="BC53" i="1"/>
  <c r="AU55" i="1"/>
  <c r="BC94" i="1"/>
  <c r="AV94" i="1"/>
  <c r="BC108" i="1"/>
  <c r="AV108" i="1"/>
  <c r="AU157" i="1"/>
  <c r="AU13" i="1"/>
  <c r="AV138" i="1"/>
  <c r="BC138" i="1"/>
  <c r="BC91" i="1"/>
  <c r="AV117" i="1"/>
  <c r="BC117" i="1"/>
  <c r="BC196" i="1"/>
  <c r="AV196" i="1"/>
  <c r="BC227" i="1"/>
  <c r="AV227" i="1"/>
  <c r="AV17" i="1"/>
  <c r="BC17" i="1"/>
  <c r="BC152" i="1"/>
  <c r="AV152" i="1"/>
  <c r="AU39" i="1"/>
  <c r="AU50" i="1"/>
  <c r="H39" i="1"/>
  <c r="E15" i="2" s="1"/>
  <c r="F12" i="2"/>
  <c r="BC64" i="1"/>
  <c r="AV64" i="1"/>
  <c r="BC70" i="1"/>
  <c r="AV70" i="1"/>
  <c r="AV113" i="1"/>
  <c r="BC113" i="1"/>
  <c r="AV161" i="1"/>
  <c r="BC161" i="1"/>
  <c r="C21" i="3"/>
  <c r="C27" i="3"/>
  <c r="BC14" i="1"/>
  <c r="BC20" i="1"/>
  <c r="BC25" i="1"/>
  <c r="AX27" i="1"/>
  <c r="BC27" i="1" s="1"/>
  <c r="I29" i="1"/>
  <c r="AW29" i="1"/>
  <c r="H31" i="1"/>
  <c r="H22" i="1" s="1"/>
  <c r="BC71" i="1"/>
  <c r="AX72" i="1"/>
  <c r="AV72" i="1" s="1"/>
  <c r="I75" i="1"/>
  <c r="AW75" i="1"/>
  <c r="H77" i="1"/>
  <c r="AV77" i="1"/>
  <c r="H87" i="1"/>
  <c r="H86" i="1" s="1"/>
  <c r="E22" i="2" s="1"/>
  <c r="AV87" i="1"/>
  <c r="BC111" i="1"/>
  <c r="I114" i="1"/>
  <c r="BC120" i="1"/>
  <c r="I134" i="1"/>
  <c r="I119" i="1" s="1"/>
  <c r="F26" i="2" s="1"/>
  <c r="I141" i="1"/>
  <c r="BC148" i="1"/>
  <c r="AV158" i="1"/>
  <c r="AV173" i="1"/>
  <c r="BI197" i="1"/>
  <c r="AC197" i="1" s="1"/>
  <c r="H213" i="1"/>
  <c r="I246" i="1"/>
  <c r="AL273" i="1"/>
  <c r="AU272" i="1" s="1"/>
  <c r="J272" i="1"/>
  <c r="G33" i="2" s="1"/>
  <c r="I33" i="2" s="1"/>
  <c r="AX293" i="1"/>
  <c r="I293" i="1"/>
  <c r="J292" i="1"/>
  <c r="G34" i="2" s="1"/>
  <c r="I34" i="2" s="1"/>
  <c r="AL317" i="1"/>
  <c r="AU292" i="1" s="1"/>
  <c r="BC341" i="1"/>
  <c r="AV341" i="1"/>
  <c r="AX357" i="1"/>
  <c r="BC357" i="1" s="1"/>
  <c r="I357" i="1"/>
  <c r="I344" i="1" s="1"/>
  <c r="F35" i="2" s="1"/>
  <c r="H359" i="1"/>
  <c r="E36" i="2" s="1"/>
  <c r="AW398" i="1"/>
  <c r="H398" i="1"/>
  <c r="H392" i="1" s="1"/>
  <c r="E38" i="2" s="1"/>
  <c r="AW412" i="1"/>
  <c r="H412" i="1"/>
  <c r="BC422" i="1"/>
  <c r="BC436" i="1"/>
  <c r="AV436" i="1"/>
  <c r="AS437" i="1"/>
  <c r="J437" i="1"/>
  <c r="G42" i="2" s="1"/>
  <c r="I42" i="2" s="1"/>
  <c r="AL451" i="1"/>
  <c r="AX464" i="1"/>
  <c r="AV464" i="1" s="1"/>
  <c r="I464" i="1"/>
  <c r="I437" i="1" s="1"/>
  <c r="F42" i="2" s="1"/>
  <c r="H465" i="1"/>
  <c r="E43" i="2" s="1"/>
  <c r="AX489" i="1"/>
  <c r="AV489" i="1" s="1"/>
  <c r="I489" i="1"/>
  <c r="AW506" i="1"/>
  <c r="H506" i="1"/>
  <c r="AV513" i="1"/>
  <c r="BC513" i="1"/>
  <c r="I567" i="1"/>
  <c r="BI567" i="1"/>
  <c r="AE567" i="1" s="1"/>
  <c r="AX567" i="1"/>
  <c r="G12" i="2"/>
  <c r="I12" i="2" s="1"/>
  <c r="BI37" i="1"/>
  <c r="BI42" i="1"/>
  <c r="AC42" i="1" s="1"/>
  <c r="BH43" i="1"/>
  <c r="AB43" i="1" s="1"/>
  <c r="BI45" i="1"/>
  <c r="AE45" i="1" s="1"/>
  <c r="BH46" i="1"/>
  <c r="AD46" i="1" s="1"/>
  <c r="BI48" i="1"/>
  <c r="AE48" i="1" s="1"/>
  <c r="BI53" i="1"/>
  <c r="AE53" i="1" s="1"/>
  <c r="BI57" i="1"/>
  <c r="AE57" i="1" s="1"/>
  <c r="BH59" i="1"/>
  <c r="AD59" i="1" s="1"/>
  <c r="BI62" i="1"/>
  <c r="AC62" i="1" s="1"/>
  <c r="BH64" i="1"/>
  <c r="AB64" i="1" s="1"/>
  <c r="BI82" i="1"/>
  <c r="AC82" i="1" s="1"/>
  <c r="BI91" i="1"/>
  <c r="AC91" i="1" s="1"/>
  <c r="BH94" i="1"/>
  <c r="AB94" i="1" s="1"/>
  <c r="I157" i="1"/>
  <c r="F31" i="2" s="1"/>
  <c r="BH196" i="1"/>
  <c r="AB196" i="1" s="1"/>
  <c r="AW209" i="1"/>
  <c r="BH241" i="1"/>
  <c r="AB241" i="1" s="1"/>
  <c r="BC293" i="1"/>
  <c r="AW302" i="1"/>
  <c r="H302" i="1"/>
  <c r="BC415" i="1"/>
  <c r="AV415" i="1"/>
  <c r="BC464" i="1"/>
  <c r="BC511" i="1"/>
  <c r="AV511" i="1"/>
  <c r="BH23" i="1"/>
  <c r="BI43" i="1"/>
  <c r="AC43" i="1" s="1"/>
  <c r="BI46" i="1"/>
  <c r="AE46" i="1" s="1"/>
  <c r="BI59" i="1"/>
  <c r="AE59" i="1" s="1"/>
  <c r="BI64" i="1"/>
  <c r="AC64" i="1" s="1"/>
  <c r="BH70" i="1"/>
  <c r="AB70" i="1" s="1"/>
  <c r="BI94" i="1"/>
  <c r="AC94" i="1" s="1"/>
  <c r="BH108" i="1"/>
  <c r="AB108" i="1" s="1"/>
  <c r="J137" i="1"/>
  <c r="G27" i="2" s="1"/>
  <c r="I27" i="2" s="1"/>
  <c r="H209" i="1"/>
  <c r="AU230" i="1"/>
  <c r="BH240" i="1"/>
  <c r="AB240" i="1" s="1"/>
  <c r="AV264" i="1"/>
  <c r="AX377" i="1"/>
  <c r="BC377" i="1" s="1"/>
  <c r="I377" i="1"/>
  <c r="I366" i="1" s="1"/>
  <c r="F37" i="2" s="1"/>
  <c r="BC400" i="1"/>
  <c r="AV400" i="1"/>
  <c r="AU437" i="1"/>
  <c r="AW491" i="1"/>
  <c r="H491" i="1"/>
  <c r="AT13" i="1"/>
  <c r="BH14" i="1"/>
  <c r="AB14" i="1" s="1"/>
  <c r="BH20" i="1"/>
  <c r="AB20" i="1" s="1"/>
  <c r="BI23" i="1"/>
  <c r="BH25" i="1"/>
  <c r="I37" i="1"/>
  <c r="I42" i="1"/>
  <c r="I39" i="1" s="1"/>
  <c r="F15" i="2" s="1"/>
  <c r="H43" i="1"/>
  <c r="I45" i="1"/>
  <c r="I44" i="1" s="1"/>
  <c r="F16" i="2" s="1"/>
  <c r="H46" i="1"/>
  <c r="H44" i="1" s="1"/>
  <c r="E16" i="2" s="1"/>
  <c r="I48" i="1"/>
  <c r="I47" i="1" s="1"/>
  <c r="F17" i="2" s="1"/>
  <c r="I53" i="1"/>
  <c r="I50" i="1" s="1"/>
  <c r="F18" i="2" s="1"/>
  <c r="I57" i="1"/>
  <c r="I55" i="1" s="1"/>
  <c r="F19" i="2" s="1"/>
  <c r="H59" i="1"/>
  <c r="H55" i="1" s="1"/>
  <c r="E19" i="2" s="1"/>
  <c r="I62" i="1"/>
  <c r="H64" i="1"/>
  <c r="BI70" i="1"/>
  <c r="AC70" i="1" s="1"/>
  <c r="BH71" i="1"/>
  <c r="AB71" i="1" s="1"/>
  <c r="I82" i="1"/>
  <c r="I91" i="1"/>
  <c r="I90" i="1" s="1"/>
  <c r="H94" i="1"/>
  <c r="H90" i="1" s="1"/>
  <c r="BI108" i="1"/>
  <c r="AC108" i="1" s="1"/>
  <c r="BH111" i="1"/>
  <c r="AB111" i="1" s="1"/>
  <c r="BH120" i="1"/>
  <c r="AB120" i="1" s="1"/>
  <c r="BH148" i="1"/>
  <c r="AB148" i="1" s="1"/>
  <c r="BH161" i="1"/>
  <c r="AB161" i="1" s="1"/>
  <c r="AW166" i="1"/>
  <c r="AW168" i="1"/>
  <c r="BH213" i="1"/>
  <c r="AB213" i="1" s="1"/>
  <c r="AX228" i="1"/>
  <c r="AX238" i="1"/>
  <c r="BC238" i="1" s="1"/>
  <c r="AX243" i="1"/>
  <c r="AV243" i="1" s="1"/>
  <c r="I271" i="1"/>
  <c r="BI271" i="1"/>
  <c r="AC271" i="1" s="1"/>
  <c r="BC311" i="1"/>
  <c r="AV311" i="1"/>
  <c r="BC317" i="1"/>
  <c r="AW387" i="1"/>
  <c r="H387" i="1"/>
  <c r="AX430" i="1"/>
  <c r="BC430" i="1" s="1"/>
  <c r="I430" i="1"/>
  <c r="AW438" i="1"/>
  <c r="H438" i="1"/>
  <c r="BC451" i="1"/>
  <c r="AX473" i="1"/>
  <c r="BC473" i="1" s="1"/>
  <c r="I473" i="1"/>
  <c r="BC493" i="1"/>
  <c r="AV493" i="1"/>
  <c r="BI14" i="1"/>
  <c r="AC14" i="1" s="1"/>
  <c r="BH17" i="1"/>
  <c r="AB17" i="1" s="1"/>
  <c r="BI20" i="1"/>
  <c r="AC20" i="1" s="1"/>
  <c r="BI25" i="1"/>
  <c r="BH27" i="1"/>
  <c r="BI71" i="1"/>
  <c r="AC71" i="1" s="1"/>
  <c r="BH72" i="1"/>
  <c r="AB72" i="1" s="1"/>
  <c r="AL75" i="1"/>
  <c r="AU61" i="1" s="1"/>
  <c r="BI111" i="1"/>
  <c r="AC111" i="1" s="1"/>
  <c r="BH113" i="1"/>
  <c r="AB113" i="1" s="1"/>
  <c r="AL114" i="1"/>
  <c r="AU90" i="1" s="1"/>
  <c r="BH117" i="1"/>
  <c r="AB117" i="1" s="1"/>
  <c r="BI120" i="1"/>
  <c r="AC120" i="1" s="1"/>
  <c r="BH131" i="1"/>
  <c r="AB131" i="1" s="1"/>
  <c r="BH138" i="1"/>
  <c r="AB138" i="1" s="1"/>
  <c r="BH145" i="1"/>
  <c r="BI148" i="1"/>
  <c r="AC148" i="1" s="1"/>
  <c r="AT157" i="1"/>
  <c r="AV184" i="1"/>
  <c r="H196" i="1"/>
  <c r="BC197" i="1"/>
  <c r="AW241" i="1"/>
  <c r="AX287" i="1"/>
  <c r="I287" i="1"/>
  <c r="I272" i="1" s="1"/>
  <c r="F33" i="2" s="1"/>
  <c r="AU402" i="1"/>
  <c r="BC440" i="1"/>
  <c r="AV440" i="1"/>
  <c r="AX508" i="1"/>
  <c r="AV508" i="1" s="1"/>
  <c r="I508" i="1"/>
  <c r="I152" i="1"/>
  <c r="I151" i="1" s="1"/>
  <c r="F30" i="2" s="1"/>
  <c r="J157" i="1"/>
  <c r="G31" i="2" s="1"/>
  <c r="I31" i="2" s="1"/>
  <c r="AX165" i="1"/>
  <c r="BI173" i="1"/>
  <c r="AC173" i="1" s="1"/>
  <c r="AX184" i="1"/>
  <c r="BC184" i="1" s="1"/>
  <c r="AW223" i="1"/>
  <c r="AV231" i="1"/>
  <c r="AW246" i="1"/>
  <c r="AX255" i="1"/>
  <c r="I255" i="1"/>
  <c r="BC264" i="1"/>
  <c r="BC269" i="1"/>
  <c r="AX273" i="1"/>
  <c r="AV273" i="1" s="1"/>
  <c r="BC287" i="1"/>
  <c r="AT292" i="1"/>
  <c r="BH302" i="1"/>
  <c r="AB302" i="1" s="1"/>
  <c r="AX338" i="1"/>
  <c r="AV338" i="1" s="1"/>
  <c r="I338" i="1"/>
  <c r="BC345" i="1"/>
  <c r="AV345" i="1"/>
  <c r="BC351" i="1"/>
  <c r="AX363" i="1"/>
  <c r="BC363" i="1" s="1"/>
  <c r="I363" i="1"/>
  <c r="I359" i="1" s="1"/>
  <c r="F36" i="2" s="1"/>
  <c r="H366" i="1"/>
  <c r="E37" i="2" s="1"/>
  <c r="AW403" i="1"/>
  <c r="H403" i="1"/>
  <c r="H402" i="1" s="1"/>
  <c r="E39" i="2" s="1"/>
  <c r="BC409" i="1"/>
  <c r="AV409" i="1"/>
  <c r="AS411" i="1"/>
  <c r="J411" i="1"/>
  <c r="G41" i="2" s="1"/>
  <c r="I41" i="2" s="1"/>
  <c r="AL422" i="1"/>
  <c r="AU411" i="1" s="1"/>
  <c r="AW433" i="1"/>
  <c r="H433" i="1"/>
  <c r="BC458" i="1"/>
  <c r="AW475" i="1"/>
  <c r="H475" i="1"/>
  <c r="BC483" i="1"/>
  <c r="AX504" i="1"/>
  <c r="BC504" i="1" s="1"/>
  <c r="I504" i="1"/>
  <c r="BH506" i="1"/>
  <c r="AV240" i="1"/>
  <c r="BC240" i="1"/>
  <c r="BC255" i="1"/>
  <c r="AV265" i="1"/>
  <c r="BC265" i="1"/>
  <c r="BC278" i="1"/>
  <c r="AV278" i="1"/>
  <c r="AW290" i="1"/>
  <c r="H290" i="1"/>
  <c r="H272" i="1" s="1"/>
  <c r="E33" i="2" s="1"/>
  <c r="BC338" i="1"/>
  <c r="AW340" i="1"/>
  <c r="H340" i="1"/>
  <c r="BC477" i="1"/>
  <c r="AV477" i="1"/>
  <c r="AW509" i="1"/>
  <c r="H509" i="1"/>
  <c r="H507" i="1" s="1"/>
  <c r="E45" i="2" s="1"/>
  <c r="I526" i="1"/>
  <c r="BI526" i="1"/>
  <c r="AE526" i="1" s="1"/>
  <c r="AX526" i="1"/>
  <c r="C20" i="3"/>
  <c r="H161" i="1"/>
  <c r="BH166" i="1"/>
  <c r="AB166" i="1" s="1"/>
  <c r="BI228" i="1"/>
  <c r="AC228" i="1" s="1"/>
  <c r="BI238" i="1"/>
  <c r="AC238" i="1" s="1"/>
  <c r="AW260" i="1"/>
  <c r="H260" i="1"/>
  <c r="H230" i="1" s="1"/>
  <c r="E32" i="2" s="1"/>
  <c r="AW271" i="1"/>
  <c r="H292" i="1"/>
  <c r="E34" i="2" s="1"/>
  <c r="BH387" i="1"/>
  <c r="AB387" i="1" s="1"/>
  <c r="AX393" i="1"/>
  <c r="BC393" i="1" s="1"/>
  <c r="I393" i="1"/>
  <c r="I392" i="1" s="1"/>
  <c r="F38" i="2" s="1"/>
  <c r="BC405" i="1"/>
  <c r="AV405" i="1"/>
  <c r="AX469" i="1"/>
  <c r="BC469" i="1" s="1"/>
  <c r="I469" i="1"/>
  <c r="I465" i="1" s="1"/>
  <c r="F43" i="2" s="1"/>
  <c r="BI252" i="1"/>
  <c r="AC252" i="1" s="1"/>
  <c r="BH255" i="1"/>
  <c r="AB255" i="1" s="1"/>
  <c r="BI282" i="1"/>
  <c r="AC282" i="1" s="1"/>
  <c r="BH287" i="1"/>
  <c r="AB287" i="1" s="1"/>
  <c r="BH293" i="1"/>
  <c r="AB293" i="1" s="1"/>
  <c r="BC312" i="1"/>
  <c r="I317" i="1"/>
  <c r="H319" i="1"/>
  <c r="BI323" i="1"/>
  <c r="AC323" i="1" s="1"/>
  <c r="BH338" i="1"/>
  <c r="AB338" i="1" s="1"/>
  <c r="BC343" i="1"/>
  <c r="BC347" i="1"/>
  <c r="I351" i="1"/>
  <c r="H353" i="1"/>
  <c r="BI355" i="1"/>
  <c r="AC355" i="1" s="1"/>
  <c r="BH357" i="1"/>
  <c r="AB357" i="1" s="1"/>
  <c r="BI360" i="1"/>
  <c r="AC360" i="1" s="1"/>
  <c r="BH363" i="1"/>
  <c r="AB363" i="1" s="1"/>
  <c r="BI367" i="1"/>
  <c r="AC367" i="1" s="1"/>
  <c r="BH377" i="1"/>
  <c r="AB377" i="1" s="1"/>
  <c r="BH393" i="1"/>
  <c r="AB393" i="1" s="1"/>
  <c r="BC406" i="1"/>
  <c r="BC419" i="1"/>
  <c r="I422" i="1"/>
  <c r="H424" i="1"/>
  <c r="BI428" i="1"/>
  <c r="AE428" i="1" s="1"/>
  <c r="BH430" i="1"/>
  <c r="AD430" i="1" s="1"/>
  <c r="I451" i="1"/>
  <c r="H458" i="1"/>
  <c r="BI461" i="1"/>
  <c r="AE461" i="1" s="1"/>
  <c r="BH464" i="1"/>
  <c r="BI466" i="1"/>
  <c r="AE466" i="1" s="1"/>
  <c r="BH469" i="1"/>
  <c r="BI471" i="1"/>
  <c r="AE471" i="1" s="1"/>
  <c r="BH473" i="1"/>
  <c r="AD473" i="1" s="1"/>
  <c r="I483" i="1"/>
  <c r="H485" i="1"/>
  <c r="BI487" i="1"/>
  <c r="AE487" i="1" s="1"/>
  <c r="BH489" i="1"/>
  <c r="AD489" i="1" s="1"/>
  <c r="BC495" i="1"/>
  <c r="I498" i="1"/>
  <c r="H500" i="1"/>
  <c r="BI502" i="1"/>
  <c r="AE502" i="1" s="1"/>
  <c r="BH504" i="1"/>
  <c r="AD504" i="1" s="1"/>
  <c r="BH508" i="1"/>
  <c r="AD508" i="1" s="1"/>
  <c r="AX516" i="1"/>
  <c r="AW526" i="1"/>
  <c r="H526" i="1"/>
  <c r="BC532" i="1"/>
  <c r="AV542" i="1"/>
  <c r="AW586" i="1"/>
  <c r="H586" i="1"/>
  <c r="BC638" i="1"/>
  <c r="AV638" i="1"/>
  <c r="BI168" i="1"/>
  <c r="AC168" i="1" s="1"/>
  <c r="BH173" i="1"/>
  <c r="AB173" i="1" s="1"/>
  <c r="BI227" i="1"/>
  <c r="AC227" i="1" s="1"/>
  <c r="BH228" i="1"/>
  <c r="AB228" i="1" s="1"/>
  <c r="BI231" i="1"/>
  <c r="AC231" i="1" s="1"/>
  <c r="BH238" i="1"/>
  <c r="AB238" i="1" s="1"/>
  <c r="AV255" i="1"/>
  <c r="BI260" i="1"/>
  <c r="AC260" i="1" s="1"/>
  <c r="BH264" i="1"/>
  <c r="AB264" i="1" s="1"/>
  <c r="AV287" i="1"/>
  <c r="BI290" i="1"/>
  <c r="AC290" i="1" s="1"/>
  <c r="AV293" i="1"/>
  <c r="BI302" i="1"/>
  <c r="AC302" i="1" s="1"/>
  <c r="BH311" i="1"/>
  <c r="AB311" i="1" s="1"/>
  <c r="AX319" i="1"/>
  <c r="BC319" i="1" s="1"/>
  <c r="AW323" i="1"/>
  <c r="BI340" i="1"/>
  <c r="AC340" i="1" s="1"/>
  <c r="BH341" i="1"/>
  <c r="AB341" i="1" s="1"/>
  <c r="BH345" i="1"/>
  <c r="AB345" i="1" s="1"/>
  <c r="AX353" i="1"/>
  <c r="BC353" i="1" s="1"/>
  <c r="AW355" i="1"/>
  <c r="AW360" i="1"/>
  <c r="AW367" i="1"/>
  <c r="AV377" i="1"/>
  <c r="BI387" i="1"/>
  <c r="AC387" i="1" s="1"/>
  <c r="BI398" i="1"/>
  <c r="AC398" i="1" s="1"/>
  <c r="BH400" i="1"/>
  <c r="AB400" i="1" s="1"/>
  <c r="BI403" i="1"/>
  <c r="AC403" i="1" s="1"/>
  <c r="BH405" i="1"/>
  <c r="AB405" i="1" s="1"/>
  <c r="BH409" i="1"/>
  <c r="AB409" i="1" s="1"/>
  <c r="BI412" i="1"/>
  <c r="AE412" i="1" s="1"/>
  <c r="BH415" i="1"/>
  <c r="AD415" i="1" s="1"/>
  <c r="AX424" i="1"/>
  <c r="BC424" i="1" s="1"/>
  <c r="AW428" i="1"/>
  <c r="BI433" i="1"/>
  <c r="AE433" i="1" s="1"/>
  <c r="BH436" i="1"/>
  <c r="BI438" i="1"/>
  <c r="AE438" i="1" s="1"/>
  <c r="BH440" i="1"/>
  <c r="AD440" i="1" s="1"/>
  <c r="AX458" i="1"/>
  <c r="AV458" i="1" s="1"/>
  <c r="AW461" i="1"/>
  <c r="AW466" i="1"/>
  <c r="AW471" i="1"/>
  <c r="AV473" i="1"/>
  <c r="BI475" i="1"/>
  <c r="AE475" i="1" s="1"/>
  <c r="BH477" i="1"/>
  <c r="AD477" i="1" s="1"/>
  <c r="AX485" i="1"/>
  <c r="BC485" i="1" s="1"/>
  <c r="AW487" i="1"/>
  <c r="BI491" i="1"/>
  <c r="AE491" i="1" s="1"/>
  <c r="BH493" i="1"/>
  <c r="AD493" i="1" s="1"/>
  <c r="AX500" i="1"/>
  <c r="AV500" i="1" s="1"/>
  <c r="AW502" i="1"/>
  <c r="BH529" i="1"/>
  <c r="AD529" i="1" s="1"/>
  <c r="AV532" i="1"/>
  <c r="AV567" i="1"/>
  <c r="BI264" i="1"/>
  <c r="AC264" i="1" s="1"/>
  <c r="BH265" i="1"/>
  <c r="AB265" i="1" s="1"/>
  <c r="BI311" i="1"/>
  <c r="AC311" i="1" s="1"/>
  <c r="BH312" i="1"/>
  <c r="AB312" i="1" s="1"/>
  <c r="BI341" i="1"/>
  <c r="AC341" i="1" s="1"/>
  <c r="BH343" i="1"/>
  <c r="AB343" i="1" s="1"/>
  <c r="BI345" i="1"/>
  <c r="AC345" i="1" s="1"/>
  <c r="BH347" i="1"/>
  <c r="AB347" i="1" s="1"/>
  <c r="BI400" i="1"/>
  <c r="AC400" i="1" s="1"/>
  <c r="BI405" i="1"/>
  <c r="AC405" i="1" s="1"/>
  <c r="BH406" i="1"/>
  <c r="AB406" i="1" s="1"/>
  <c r="BI409" i="1"/>
  <c r="AC409" i="1" s="1"/>
  <c r="BI415" i="1"/>
  <c r="AE415" i="1" s="1"/>
  <c r="BH419" i="1"/>
  <c r="AD419" i="1" s="1"/>
  <c r="BI436" i="1"/>
  <c r="BI440" i="1"/>
  <c r="AE440" i="1" s="1"/>
  <c r="BH443" i="1"/>
  <c r="AD443" i="1" s="1"/>
  <c r="BI477" i="1"/>
  <c r="AE477" i="1" s="1"/>
  <c r="BH479" i="1"/>
  <c r="AD479" i="1" s="1"/>
  <c r="BI493" i="1"/>
  <c r="AE493" i="1" s="1"/>
  <c r="BH495" i="1"/>
  <c r="AD495" i="1" s="1"/>
  <c r="BI511" i="1"/>
  <c r="AE511" i="1" s="1"/>
  <c r="BH513" i="1"/>
  <c r="AD513" i="1" s="1"/>
  <c r="BH515" i="1"/>
  <c r="AD515" i="1" s="1"/>
  <c r="AW515" i="1"/>
  <c r="AX515" i="1"/>
  <c r="I515" i="1"/>
  <c r="BI516" i="1"/>
  <c r="BI542" i="1"/>
  <c r="AE542" i="1" s="1"/>
  <c r="BC615" i="1"/>
  <c r="AV615" i="1"/>
  <c r="AV643" i="1"/>
  <c r="I511" i="1"/>
  <c r="H513" i="1"/>
  <c r="AL526" i="1"/>
  <c r="AU517" i="1" s="1"/>
  <c r="J517" i="1"/>
  <c r="G46" i="2" s="1"/>
  <c r="I46" i="2" s="1"/>
  <c r="BH526" i="1"/>
  <c r="AD526" i="1" s="1"/>
  <c r="AX551" i="1"/>
  <c r="I551" i="1"/>
  <c r="BC558" i="1"/>
  <c r="AV558" i="1"/>
  <c r="BH586" i="1"/>
  <c r="AD586" i="1" s="1"/>
  <c r="BC613" i="1"/>
  <c r="AV514" i="1"/>
  <c r="AW516" i="1"/>
  <c r="H516" i="1"/>
  <c r="AX518" i="1"/>
  <c r="I518" i="1"/>
  <c r="AW554" i="1"/>
  <c r="H554" i="1"/>
  <c r="BC561" i="1"/>
  <c r="AV561" i="1"/>
  <c r="BC595" i="1"/>
  <c r="AV595" i="1"/>
  <c r="AT517" i="1"/>
  <c r="AX583" i="1"/>
  <c r="I583" i="1"/>
  <c r="AW518" i="1"/>
  <c r="BI529" i="1"/>
  <c r="AE529" i="1" s="1"/>
  <c r="BH532" i="1"/>
  <c r="AD532" i="1" s="1"/>
  <c r="BC542" i="1"/>
  <c r="AX545" i="1"/>
  <c r="I548" i="1"/>
  <c r="AW548" i="1"/>
  <c r="H551" i="1"/>
  <c r="BC567" i="1"/>
  <c r="AX577" i="1"/>
  <c r="AV577" i="1" s="1"/>
  <c r="I580" i="1"/>
  <c r="AW580" i="1"/>
  <c r="H583" i="1"/>
  <c r="BC598" i="1"/>
  <c r="AX601" i="1"/>
  <c r="BC601" i="1" s="1"/>
  <c r="I604" i="1"/>
  <c r="AW604" i="1"/>
  <c r="H605" i="1"/>
  <c r="BC617" i="1"/>
  <c r="AX621" i="1"/>
  <c r="AV621" i="1" s="1"/>
  <c r="I624" i="1"/>
  <c r="AW624" i="1"/>
  <c r="H626" i="1"/>
  <c r="BC641" i="1"/>
  <c r="AX643" i="1"/>
  <c r="BC643" i="1" s="1"/>
  <c r="I647" i="1"/>
  <c r="AV651" i="1"/>
  <c r="BH653" i="1"/>
  <c r="AD653" i="1" s="1"/>
  <c r="J666" i="1"/>
  <c r="G47" i="2" s="1"/>
  <c r="I47" i="2" s="1"/>
  <c r="AT666" i="1"/>
  <c r="AW683" i="1"/>
  <c r="AL686" i="1"/>
  <c r="AU685" i="1" s="1"/>
  <c r="J685" i="1"/>
  <c r="G49" i="2" s="1"/>
  <c r="I49" i="2" s="1"/>
  <c r="BI686" i="1"/>
  <c r="AE686" i="1" s="1"/>
  <c r="AX707" i="1"/>
  <c r="I707" i="1"/>
  <c r="BC758" i="1"/>
  <c r="AV758" i="1"/>
  <c r="AV792" i="1"/>
  <c r="BC792" i="1"/>
  <c r="AV795" i="1"/>
  <c r="J786" i="1"/>
  <c r="G51" i="2" s="1"/>
  <c r="I51" i="2" s="1"/>
  <c r="AL796" i="1"/>
  <c r="AU786" i="1" s="1"/>
  <c r="BC836" i="1"/>
  <c r="AV836" i="1"/>
  <c r="AV851" i="1"/>
  <c r="BC851" i="1"/>
  <c r="AU857" i="1"/>
  <c r="AX879" i="1"/>
  <c r="I879" i="1"/>
  <c r="I878" i="1" s="1"/>
  <c r="J896" i="1"/>
  <c r="G67" i="2" s="1"/>
  <c r="I67" i="2" s="1"/>
  <c r="AL897" i="1"/>
  <c r="AU896" i="1" s="1"/>
  <c r="AW950" i="1"/>
  <c r="H950" i="1"/>
  <c r="BH950" i="1"/>
  <c r="AD950" i="1" s="1"/>
  <c r="BC973" i="1"/>
  <c r="AV973" i="1"/>
  <c r="AX548" i="1"/>
  <c r="AW551" i="1"/>
  <c r="AX580" i="1"/>
  <c r="AW583" i="1"/>
  <c r="AX604" i="1"/>
  <c r="I605" i="1"/>
  <c r="AW605" i="1"/>
  <c r="H608" i="1"/>
  <c r="AX624" i="1"/>
  <c r="I626" i="1"/>
  <c r="AW626" i="1"/>
  <c r="H628" i="1"/>
  <c r="BI633" i="1"/>
  <c r="AE633" i="1" s="1"/>
  <c r="BH635" i="1"/>
  <c r="AD635" i="1" s="1"/>
  <c r="AX651" i="1"/>
  <c r="BC651" i="1" s="1"/>
  <c r="AW659" i="1"/>
  <c r="H659" i="1"/>
  <c r="AW678" i="1"/>
  <c r="AV704" i="1"/>
  <c r="AW716" i="1"/>
  <c r="H716" i="1"/>
  <c r="AX727" i="1"/>
  <c r="I727" i="1"/>
  <c r="AW787" i="1"/>
  <c r="H787" i="1"/>
  <c r="H786" i="1" s="1"/>
  <c r="E51" i="2" s="1"/>
  <c r="AX825" i="1"/>
  <c r="I825" i="1"/>
  <c r="I822" i="1" s="1"/>
  <c r="BC848" i="1"/>
  <c r="AV848" i="1"/>
  <c r="AL868" i="1"/>
  <c r="J865" i="1"/>
  <c r="G62" i="2" s="1"/>
  <c r="I62" i="2" s="1"/>
  <c r="BC879" i="1"/>
  <c r="AV933" i="1"/>
  <c r="BC933" i="1"/>
  <c r="AW971" i="1"/>
  <c r="H971" i="1"/>
  <c r="BH971" i="1"/>
  <c r="AD971" i="1" s="1"/>
  <c r="BI535" i="1"/>
  <c r="AE535" i="1" s="1"/>
  <c r="BH539" i="1"/>
  <c r="AD539" i="1" s="1"/>
  <c r="BI561" i="1"/>
  <c r="AE561" i="1" s="1"/>
  <c r="BH564" i="1"/>
  <c r="AD564" i="1" s="1"/>
  <c r="AV589" i="1"/>
  <c r="BI592" i="1"/>
  <c r="AE592" i="1" s="1"/>
  <c r="BH595" i="1"/>
  <c r="AD595" i="1" s="1"/>
  <c r="AX605" i="1"/>
  <c r="AW608" i="1"/>
  <c r="AV610" i="1"/>
  <c r="BI613" i="1"/>
  <c r="AE613" i="1" s="1"/>
  <c r="BH615" i="1"/>
  <c r="AD615" i="1" s="1"/>
  <c r="AX626" i="1"/>
  <c r="AW628" i="1"/>
  <c r="AV633" i="1"/>
  <c r="BI635" i="1"/>
  <c r="AE635" i="1" s="1"/>
  <c r="BH638" i="1"/>
  <c r="AD638" i="1" s="1"/>
  <c r="I651" i="1"/>
  <c r="I666" i="1"/>
  <c r="F47" i="2" s="1"/>
  <c r="AW729" i="1"/>
  <c r="H729" i="1"/>
  <c r="BC789" i="1"/>
  <c r="AV789" i="1"/>
  <c r="AL812" i="1"/>
  <c r="AU811" i="1" s="1"/>
  <c r="J811" i="1"/>
  <c r="G54" i="2" s="1"/>
  <c r="I54" i="2" s="1"/>
  <c r="E57" i="2"/>
  <c r="BC825" i="1"/>
  <c r="AU827" i="1"/>
  <c r="AV858" i="1"/>
  <c r="BC858" i="1"/>
  <c r="BC873" i="1"/>
  <c r="AW881" i="1"/>
  <c r="H881" i="1"/>
  <c r="H878" i="1" s="1"/>
  <c r="AV592" i="1"/>
  <c r="AV613" i="1"/>
  <c r="AV635" i="1"/>
  <c r="AX659" i="1"/>
  <c r="BH662" i="1"/>
  <c r="AD662" i="1" s="1"/>
  <c r="BH683" i="1"/>
  <c r="AD683" i="1" s="1"/>
  <c r="BI598" i="1"/>
  <c r="AE598" i="1" s="1"/>
  <c r="BH601" i="1"/>
  <c r="AD601" i="1" s="1"/>
  <c r="BI617" i="1"/>
  <c r="AE617" i="1" s="1"/>
  <c r="BH621" i="1"/>
  <c r="AD621" i="1" s="1"/>
  <c r="BI641" i="1"/>
  <c r="AE641" i="1" s="1"/>
  <c r="BH643" i="1"/>
  <c r="AD643" i="1" s="1"/>
  <c r="BH678" i="1"/>
  <c r="AD678" i="1" s="1"/>
  <c r="AV820" i="1"/>
  <c r="BC820" i="1"/>
  <c r="AW838" i="1"/>
  <c r="H838" i="1"/>
  <c r="H837" i="1" s="1"/>
  <c r="E59" i="2" s="1"/>
  <c r="AX884" i="1"/>
  <c r="BC884" i="1" s="1"/>
  <c r="I884" i="1"/>
  <c r="I883" i="1" s="1"/>
  <c r="F66" i="2" s="1"/>
  <c r="I1036" i="1"/>
  <c r="BI1036" i="1"/>
  <c r="AC1036" i="1" s="1"/>
  <c r="AX1036" i="1"/>
  <c r="AW653" i="1"/>
  <c r="AX831" i="1"/>
  <c r="AV831" i="1" s="1"/>
  <c r="I831" i="1"/>
  <c r="AT841" i="1"/>
  <c r="H944" i="1"/>
  <c r="BH944" i="1"/>
  <c r="AD944" i="1" s="1"/>
  <c r="AW944" i="1"/>
  <c r="BH659" i="1"/>
  <c r="AD659" i="1" s="1"/>
  <c r="BH716" i="1"/>
  <c r="AD716" i="1" s="1"/>
  <c r="BH729" i="1"/>
  <c r="AX731" i="1"/>
  <c r="I731" i="1"/>
  <c r="AV802" i="1"/>
  <c r="BC802" i="1"/>
  <c r="AW834" i="1"/>
  <c r="H834" i="1"/>
  <c r="H827" i="1" s="1"/>
  <c r="AX842" i="1"/>
  <c r="BC842" i="1" s="1"/>
  <c r="I842" i="1"/>
  <c r="I841" i="1" s="1"/>
  <c r="F60" i="2" s="1"/>
  <c r="BC862" i="1"/>
  <c r="AV870" i="1"/>
  <c r="AL873" i="1"/>
  <c r="AU872" i="1" s="1"/>
  <c r="J872" i="1"/>
  <c r="G63" i="2" s="1"/>
  <c r="I63" i="2" s="1"/>
  <c r="BH881" i="1"/>
  <c r="BH887" i="1"/>
  <c r="AB887" i="1" s="1"/>
  <c r="AW887" i="1"/>
  <c r="H887" i="1"/>
  <c r="H883" i="1" s="1"/>
  <c r="E66" i="2" s="1"/>
  <c r="AV942" i="1"/>
  <c r="BC942" i="1"/>
  <c r="AX656" i="1"/>
  <c r="BC656" i="1" s="1"/>
  <c r="I656" i="1"/>
  <c r="BC665" i="1"/>
  <c r="AV665" i="1"/>
  <c r="BC669" i="1"/>
  <c r="AV669" i="1"/>
  <c r="BC695" i="1"/>
  <c r="AV695" i="1"/>
  <c r="AV707" i="1"/>
  <c r="BC707" i="1"/>
  <c r="BC720" i="1"/>
  <c r="BC731" i="1"/>
  <c r="AW735" i="1"/>
  <c r="H735" i="1"/>
  <c r="AL820" i="1"/>
  <c r="AU819" i="1" s="1"/>
  <c r="J819" i="1"/>
  <c r="G55" i="2" s="1"/>
  <c r="I55" i="2" s="1"/>
  <c r="AW845" i="1"/>
  <c r="H845" i="1"/>
  <c r="AU865" i="1"/>
  <c r="BC938" i="1"/>
  <c r="AS983" i="1"/>
  <c r="AX662" i="1"/>
  <c r="BC662" i="1" s="1"/>
  <c r="AW663" i="1"/>
  <c r="AW667" i="1"/>
  <c r="AX716" i="1"/>
  <c r="AW719" i="1"/>
  <c r="AX795" i="1"/>
  <c r="BC795" i="1" s="1"/>
  <c r="AW796" i="1"/>
  <c r="AX799" i="1"/>
  <c r="BC799" i="1" s="1"/>
  <c r="AX807" i="1"/>
  <c r="BC807" i="1" s="1"/>
  <c r="AW808" i="1"/>
  <c r="AW812" i="1"/>
  <c r="AV894" i="1"/>
  <c r="BC894" i="1"/>
  <c r="AX948" i="1"/>
  <c r="BC948" i="1" s="1"/>
  <c r="I948" i="1"/>
  <c r="AX969" i="1"/>
  <c r="I969" i="1"/>
  <c r="BI653" i="1"/>
  <c r="AE653" i="1" s="1"/>
  <c r="BH656" i="1"/>
  <c r="AD656" i="1" s="1"/>
  <c r="BI678" i="1"/>
  <c r="AE678" i="1" s="1"/>
  <c r="BH681" i="1"/>
  <c r="BI683" i="1"/>
  <c r="AE683" i="1" s="1"/>
  <c r="AV686" i="1"/>
  <c r="BI695" i="1"/>
  <c r="AE695" i="1" s="1"/>
  <c r="BH704" i="1"/>
  <c r="AD704" i="1" s="1"/>
  <c r="AX720" i="1"/>
  <c r="AV720" i="1" s="1"/>
  <c r="AW725" i="1"/>
  <c r="BI729" i="1"/>
  <c r="AV731" i="1"/>
  <c r="BI735" i="1"/>
  <c r="AE735" i="1" s="1"/>
  <c r="BH758" i="1"/>
  <c r="AD758" i="1" s="1"/>
  <c r="BI787" i="1"/>
  <c r="AE787" i="1" s="1"/>
  <c r="BH789" i="1"/>
  <c r="AD789" i="1" s="1"/>
  <c r="AX809" i="1"/>
  <c r="BC809" i="1" s="1"/>
  <c r="AX817" i="1"/>
  <c r="BC817" i="1" s="1"/>
  <c r="AW823" i="1"/>
  <c r="AV825" i="1"/>
  <c r="AW828" i="1"/>
  <c r="BI834" i="1"/>
  <c r="AC834" i="1" s="1"/>
  <c r="BH836" i="1"/>
  <c r="AB836" i="1" s="1"/>
  <c r="BI838" i="1"/>
  <c r="AC838" i="1" s="1"/>
  <c r="BI845" i="1"/>
  <c r="AC845" i="1" s="1"/>
  <c r="BH848" i="1"/>
  <c r="AB848" i="1" s="1"/>
  <c r="AX870" i="1"/>
  <c r="BC870" i="1" s="1"/>
  <c r="AX875" i="1"/>
  <c r="AV879" i="1"/>
  <c r="BI881" i="1"/>
  <c r="H890" i="1"/>
  <c r="BC908" i="1"/>
  <c r="AV908" i="1"/>
  <c r="BC952" i="1"/>
  <c r="AV952" i="1"/>
  <c r="AV979" i="1"/>
  <c r="BC979" i="1"/>
  <c r="AL984" i="1"/>
  <c r="AU983" i="1" s="1"/>
  <c r="J983" i="1"/>
  <c r="G73" i="2" s="1"/>
  <c r="I73" i="2" s="1"/>
  <c r="AX990" i="1"/>
  <c r="AV990" i="1" s="1"/>
  <c r="I990" i="1"/>
  <c r="BI681" i="1"/>
  <c r="BI704" i="1"/>
  <c r="AE704" i="1" s="1"/>
  <c r="BH707" i="1"/>
  <c r="AD707" i="1" s="1"/>
  <c r="BI758" i="1"/>
  <c r="AE758" i="1" s="1"/>
  <c r="BI789" i="1"/>
  <c r="AE789" i="1" s="1"/>
  <c r="BH792" i="1"/>
  <c r="AD792" i="1" s="1"/>
  <c r="BH802" i="1"/>
  <c r="AB802" i="1" s="1"/>
  <c r="BI836" i="1"/>
  <c r="AC836" i="1" s="1"/>
  <c r="BI848" i="1"/>
  <c r="AC848" i="1" s="1"/>
  <c r="BH851" i="1"/>
  <c r="AB851" i="1" s="1"/>
  <c r="BH858" i="1"/>
  <c r="AB858" i="1" s="1"/>
  <c r="BC1065" i="1"/>
  <c r="AV1065" i="1"/>
  <c r="BI792" i="1"/>
  <c r="AE792" i="1" s="1"/>
  <c r="BH795" i="1"/>
  <c r="AD795" i="1" s="1"/>
  <c r="BH799" i="1"/>
  <c r="AB799" i="1" s="1"/>
  <c r="BI802" i="1"/>
  <c r="AC802" i="1" s="1"/>
  <c r="BH807" i="1"/>
  <c r="AB807" i="1" s="1"/>
  <c r="BI851" i="1"/>
  <c r="AC851" i="1" s="1"/>
  <c r="BH854" i="1"/>
  <c r="AB854" i="1" s="1"/>
  <c r="BI858" i="1"/>
  <c r="AC858" i="1" s="1"/>
  <c r="BH861" i="1"/>
  <c r="AB861" i="1" s="1"/>
  <c r="BH866" i="1"/>
  <c r="AB866" i="1" s="1"/>
  <c r="BC897" i="1"/>
  <c r="AV897" i="1"/>
  <c r="AV954" i="1"/>
  <c r="BC954" i="1"/>
  <c r="AV958" i="1"/>
  <c r="BC958" i="1"/>
  <c r="AV963" i="1"/>
  <c r="BC963" i="1"/>
  <c r="AX992" i="1"/>
  <c r="BC992" i="1" s="1"/>
  <c r="BI992" i="1"/>
  <c r="AE992" i="1" s="1"/>
  <c r="I992" i="1"/>
  <c r="AV1069" i="1"/>
  <c r="BC1069" i="1"/>
  <c r="AL1076" i="1"/>
  <c r="AU1074" i="1" s="1"/>
  <c r="J1074" i="1"/>
  <c r="G80" i="2" s="1"/>
  <c r="I80" i="2" s="1"/>
  <c r="AX1079" i="1"/>
  <c r="BI1079" i="1"/>
  <c r="AC1079" i="1" s="1"/>
  <c r="I1079" i="1"/>
  <c r="I681" i="1"/>
  <c r="I704" i="1"/>
  <c r="H707" i="1"/>
  <c r="H685" i="1" s="1"/>
  <c r="E49" i="2" s="1"/>
  <c r="I758" i="1"/>
  <c r="I789" i="1"/>
  <c r="H792" i="1"/>
  <c r="H802" i="1"/>
  <c r="J822" i="1"/>
  <c r="J827" i="1"/>
  <c r="G58" i="2" s="1"/>
  <c r="I58" i="2" s="1"/>
  <c r="I836" i="1"/>
  <c r="I848" i="1"/>
  <c r="H851" i="1"/>
  <c r="H858" i="1"/>
  <c r="BH890" i="1"/>
  <c r="AB890" i="1" s="1"/>
  <c r="AX892" i="1"/>
  <c r="AV892" i="1" s="1"/>
  <c r="I896" i="1"/>
  <c r="F67" i="2" s="1"/>
  <c r="AV911" i="1"/>
  <c r="BC911" i="1"/>
  <c r="J913" i="1"/>
  <c r="G70" i="2" s="1"/>
  <c r="I70" i="2" s="1"/>
  <c r="AT1062" i="1"/>
  <c r="J730" i="1"/>
  <c r="G50" i="2" s="1"/>
  <c r="I50" i="2" s="1"/>
  <c r="I792" i="1"/>
  <c r="H795" i="1"/>
  <c r="H799" i="1"/>
  <c r="H798" i="1" s="1"/>
  <c r="E52" i="2" s="1"/>
  <c r="I802" i="1"/>
  <c r="I801" i="1" s="1"/>
  <c r="F53" i="2" s="1"/>
  <c r="H807" i="1"/>
  <c r="J841" i="1"/>
  <c r="G60" i="2" s="1"/>
  <c r="I60" i="2" s="1"/>
  <c r="I851" i="1"/>
  <c r="H854" i="1"/>
  <c r="I858" i="1"/>
  <c r="I857" i="1" s="1"/>
  <c r="F61" i="2" s="1"/>
  <c r="H861" i="1"/>
  <c r="H866" i="1"/>
  <c r="H865" i="1" s="1"/>
  <c r="E62" i="2" s="1"/>
  <c r="J878" i="1"/>
  <c r="J883" i="1"/>
  <c r="G66" i="2" s="1"/>
  <c r="I66" i="2" s="1"/>
  <c r="AU913" i="1"/>
  <c r="AT913" i="1"/>
  <c r="AX927" i="1"/>
  <c r="AV927" i="1" s="1"/>
  <c r="I927" i="1"/>
  <c r="I913" i="1" s="1"/>
  <c r="F70" i="2" s="1"/>
  <c r="AW929" i="1"/>
  <c r="H929" i="1"/>
  <c r="AU937" i="1"/>
  <c r="AT937" i="1"/>
  <c r="BI990" i="1"/>
  <c r="AE990" i="1" s="1"/>
  <c r="AV899" i="1"/>
  <c r="BC899" i="1"/>
  <c r="AV905" i="1"/>
  <c r="BC905" i="1"/>
  <c r="BC914" i="1"/>
  <c r="AV914" i="1"/>
  <c r="BC931" i="1"/>
  <c r="AV931" i="1"/>
  <c r="AL963" i="1"/>
  <c r="AU962" i="1" s="1"/>
  <c r="J962" i="1"/>
  <c r="G72" i="2" s="1"/>
  <c r="I72" i="2" s="1"/>
  <c r="AS962" i="1"/>
  <c r="AL1052" i="1"/>
  <c r="AU1051" i="1" s="1"/>
  <c r="J1051" i="1"/>
  <c r="BC1061" i="1"/>
  <c r="AX902" i="1"/>
  <c r="AX918" i="1"/>
  <c r="AW920" i="1"/>
  <c r="AX935" i="1"/>
  <c r="I963" i="1"/>
  <c r="H965" i="1"/>
  <c r="I979" i="1"/>
  <c r="H981" i="1"/>
  <c r="I984" i="1"/>
  <c r="H986" i="1"/>
  <c r="AW1018" i="1"/>
  <c r="AV1026" i="1"/>
  <c r="BC1026" i="1"/>
  <c r="AV1048" i="1"/>
  <c r="BC1048" i="1"/>
  <c r="BI1052" i="1"/>
  <c r="AC1052" i="1" s="1"/>
  <c r="I1057" i="1"/>
  <c r="AX1064" i="1"/>
  <c r="AX1067" i="1"/>
  <c r="BC1067" i="1" s="1"/>
  <c r="I1067" i="1"/>
  <c r="I1084" i="1"/>
  <c r="BI1084" i="1"/>
  <c r="AC1084" i="1" s="1"/>
  <c r="AX1084" i="1"/>
  <c r="J1168" i="1"/>
  <c r="G95" i="2" s="1"/>
  <c r="I95" i="2" s="1"/>
  <c r="AL1169" i="1"/>
  <c r="AU1168" i="1" s="1"/>
  <c r="BI890" i="1"/>
  <c r="AC890" i="1" s="1"/>
  <c r="BH892" i="1"/>
  <c r="AB892" i="1" s="1"/>
  <c r="BH897" i="1"/>
  <c r="AB897" i="1" s="1"/>
  <c r="BH908" i="1"/>
  <c r="AB908" i="1" s="1"/>
  <c r="BH914" i="1"/>
  <c r="AD914" i="1" s="1"/>
  <c r="AX922" i="1"/>
  <c r="BC922" i="1" s="1"/>
  <c r="AW924" i="1"/>
  <c r="BI929" i="1"/>
  <c r="AE929" i="1" s="1"/>
  <c r="BH931" i="1"/>
  <c r="AD931" i="1" s="1"/>
  <c r="AX944" i="1"/>
  <c r="AW946" i="1"/>
  <c r="BI950" i="1"/>
  <c r="AE950" i="1" s="1"/>
  <c r="BH952" i="1"/>
  <c r="AD952" i="1" s="1"/>
  <c r="AX960" i="1"/>
  <c r="BC960" i="1" s="1"/>
  <c r="AX965" i="1"/>
  <c r="BC965" i="1" s="1"/>
  <c r="AW967" i="1"/>
  <c r="BI971" i="1"/>
  <c r="AE971" i="1" s="1"/>
  <c r="BH973" i="1"/>
  <c r="AD973" i="1" s="1"/>
  <c r="AX981" i="1"/>
  <c r="BC981" i="1" s="1"/>
  <c r="AX986" i="1"/>
  <c r="AV986" i="1" s="1"/>
  <c r="AW988" i="1"/>
  <c r="AV996" i="1"/>
  <c r="BC1040" i="1"/>
  <c r="AW1044" i="1"/>
  <c r="H1044" i="1"/>
  <c r="BC1071" i="1"/>
  <c r="AV1071" i="1"/>
  <c r="BI897" i="1"/>
  <c r="AC897" i="1" s="1"/>
  <c r="BH899" i="1"/>
  <c r="AB899" i="1" s="1"/>
  <c r="BH905" i="1"/>
  <c r="AB905" i="1" s="1"/>
  <c r="BI908" i="1"/>
  <c r="AC908" i="1" s="1"/>
  <c r="BH911" i="1"/>
  <c r="AB911" i="1" s="1"/>
  <c r="BI914" i="1"/>
  <c r="AE914" i="1" s="1"/>
  <c r="BH916" i="1"/>
  <c r="AD916" i="1" s="1"/>
  <c r="BI931" i="1"/>
  <c r="AE931" i="1" s="1"/>
  <c r="BH933" i="1"/>
  <c r="AD933" i="1" s="1"/>
  <c r="BH938" i="1"/>
  <c r="AD938" i="1" s="1"/>
  <c r="BI952" i="1"/>
  <c r="AE952" i="1" s="1"/>
  <c r="BH954" i="1"/>
  <c r="AD954" i="1" s="1"/>
  <c r="BI973" i="1"/>
  <c r="AE973" i="1" s="1"/>
  <c r="BH975" i="1"/>
  <c r="AD975" i="1" s="1"/>
  <c r="AW1008" i="1"/>
  <c r="H1008" i="1"/>
  <c r="AX1042" i="1"/>
  <c r="BC1042" i="1" s="1"/>
  <c r="I1042" i="1"/>
  <c r="AV1059" i="1"/>
  <c r="BC1059" i="1"/>
  <c r="BI1064" i="1"/>
  <c r="AC1064" i="1" s="1"/>
  <c r="BI1067" i="1"/>
  <c r="AC1067" i="1" s="1"/>
  <c r="H897" i="1"/>
  <c r="H896" i="1" s="1"/>
  <c r="E67" i="2" s="1"/>
  <c r="I929" i="1"/>
  <c r="H931" i="1"/>
  <c r="I950" i="1"/>
  <c r="H952" i="1"/>
  <c r="I971" i="1"/>
  <c r="H973" i="1"/>
  <c r="AX1006" i="1"/>
  <c r="BC1006" i="1" s="1"/>
  <c r="I1006" i="1"/>
  <c r="BH1018" i="1"/>
  <c r="AD1018" i="1" s="1"/>
  <c r="AX1031" i="1"/>
  <c r="AT1033" i="1"/>
  <c r="AW1038" i="1"/>
  <c r="AV1046" i="1"/>
  <c r="BC1046" i="1"/>
  <c r="BC1054" i="1"/>
  <c r="G78" i="2"/>
  <c r="I78" i="2" s="1"/>
  <c r="BI1061" i="1"/>
  <c r="AC1061" i="1" s="1"/>
  <c r="AL1064" i="1"/>
  <c r="AU1062" i="1" s="1"/>
  <c r="J1062" i="1"/>
  <c r="G79" i="2" s="1"/>
  <c r="I79" i="2" s="1"/>
  <c r="AX1072" i="1"/>
  <c r="I1072" i="1"/>
  <c r="H1077" i="1"/>
  <c r="BH1077" i="1"/>
  <c r="AB1077" i="1" s="1"/>
  <c r="AW1077" i="1"/>
  <c r="AW994" i="1"/>
  <c r="H994" i="1"/>
  <c r="AX1000" i="1"/>
  <c r="AV1010" i="1"/>
  <c r="BC1010" i="1"/>
  <c r="AV1016" i="1"/>
  <c r="BC1020" i="1"/>
  <c r="H1050" i="1"/>
  <c r="E75" i="2" s="1"/>
  <c r="AX1052" i="1"/>
  <c r="AX1055" i="1"/>
  <c r="BC1055" i="1" s="1"/>
  <c r="I1055" i="1"/>
  <c r="I1051" i="1" s="1"/>
  <c r="BH1065" i="1"/>
  <c r="AB1065" i="1" s="1"/>
  <c r="BC1070" i="1"/>
  <c r="AV1070" i="1"/>
  <c r="AX1022" i="1"/>
  <c r="AV1022" i="1" s="1"/>
  <c r="I1022" i="1"/>
  <c r="AW1024" i="1"/>
  <c r="H1024" i="1"/>
  <c r="BC1053" i="1"/>
  <c r="AV1053" i="1"/>
  <c r="BC1089" i="1"/>
  <c r="AV1089" i="1"/>
  <c r="BC1002" i="1"/>
  <c r="AV1002" i="1"/>
  <c r="AL1036" i="1"/>
  <c r="AU1033" i="1" s="1"/>
  <c r="J1033" i="1"/>
  <c r="G74" i="2" s="1"/>
  <c r="I74" i="2" s="1"/>
  <c r="AV1058" i="1"/>
  <c r="BC1058" i="1"/>
  <c r="AV1067" i="1"/>
  <c r="AW1068" i="1"/>
  <c r="H1068" i="1"/>
  <c r="AX996" i="1"/>
  <c r="BC996" i="1" s="1"/>
  <c r="AW998" i="1"/>
  <c r="AX1012" i="1"/>
  <c r="AV1012" i="1" s="1"/>
  <c r="AW1014" i="1"/>
  <c r="H1080" i="1"/>
  <c r="AL1087" i="1"/>
  <c r="AU1085" i="1" s="1"/>
  <c r="J1085" i="1"/>
  <c r="G81" i="2" s="1"/>
  <c r="I81" i="2" s="1"/>
  <c r="AT1085" i="1"/>
  <c r="BH1088" i="1"/>
  <c r="AB1088" i="1" s="1"/>
  <c r="AX1098" i="1"/>
  <c r="I1098" i="1"/>
  <c r="AW1099" i="1"/>
  <c r="H1099" i="1"/>
  <c r="BC1121" i="1"/>
  <c r="AV1121" i="1"/>
  <c r="AL1124" i="1"/>
  <c r="AU1123" i="1" s="1"/>
  <c r="J1123" i="1"/>
  <c r="G88" i="2" s="1"/>
  <c r="I88" i="2" s="1"/>
  <c r="H1149" i="1"/>
  <c r="E92" i="2" s="1"/>
  <c r="AL1161" i="1"/>
  <c r="J1159" i="1"/>
  <c r="G94" i="2" s="1"/>
  <c r="I94" i="2" s="1"/>
  <c r="AV1167" i="1"/>
  <c r="BC1167" i="1"/>
  <c r="AL1176" i="1"/>
  <c r="J1172" i="1"/>
  <c r="G96" i="2" s="1"/>
  <c r="I96" i="2" s="1"/>
  <c r="AW1187" i="1"/>
  <c r="H1187" i="1"/>
  <c r="BH1187" i="1"/>
  <c r="AF1187" i="1" s="1"/>
  <c r="AX998" i="1"/>
  <c r="AW1000" i="1"/>
  <c r="BI1004" i="1"/>
  <c r="AE1004" i="1" s="1"/>
  <c r="BH1006" i="1"/>
  <c r="AD1006" i="1" s="1"/>
  <c r="BI1020" i="1"/>
  <c r="AE1020" i="1" s="1"/>
  <c r="BH1022" i="1"/>
  <c r="AD1022" i="1" s="1"/>
  <c r="BI1040" i="1"/>
  <c r="AC1040" i="1" s="1"/>
  <c r="BH1042" i="1"/>
  <c r="AB1042" i="1" s="1"/>
  <c r="BI1054" i="1"/>
  <c r="AC1054" i="1" s="1"/>
  <c r="BH1055" i="1"/>
  <c r="AB1055" i="1" s="1"/>
  <c r="BI1066" i="1"/>
  <c r="AC1066" i="1" s="1"/>
  <c r="BH1067" i="1"/>
  <c r="AB1067" i="1" s="1"/>
  <c r="BC1098" i="1"/>
  <c r="AX1103" i="1"/>
  <c r="AX1110" i="1"/>
  <c r="BC1110" i="1" s="1"/>
  <c r="I1110" i="1"/>
  <c r="I1109" i="1" s="1"/>
  <c r="AX1134" i="1"/>
  <c r="AV1134" i="1" s="1"/>
  <c r="I1134" i="1"/>
  <c r="BI1134" i="1"/>
  <c r="H1172" i="1"/>
  <c r="E96" i="2" s="1"/>
  <c r="H1192" i="1"/>
  <c r="BH1192" i="1"/>
  <c r="AF1192" i="1" s="1"/>
  <c r="AW1192" i="1"/>
  <c r="AX1090" i="1"/>
  <c r="AV1090" i="1" s="1"/>
  <c r="I1090" i="1"/>
  <c r="AW1091" i="1"/>
  <c r="H1091" i="1"/>
  <c r="BC1132" i="1"/>
  <c r="AV1132" i="1"/>
  <c r="J1149" i="1"/>
  <c r="G92" i="2" s="1"/>
  <c r="I92" i="2" s="1"/>
  <c r="AL1152" i="1"/>
  <c r="AU1149" i="1" s="1"/>
  <c r="AW1165" i="1"/>
  <c r="H1165" i="1"/>
  <c r="BH1165" i="1"/>
  <c r="AF1165" i="1" s="1"/>
  <c r="H1189" i="1"/>
  <c r="AW1189" i="1"/>
  <c r="BH1189" i="1"/>
  <c r="AF1189" i="1" s="1"/>
  <c r="H1203" i="1"/>
  <c r="BH1203" i="1"/>
  <c r="AF1203" i="1" s="1"/>
  <c r="AW1203" i="1"/>
  <c r="BC1204" i="1"/>
  <c r="AV1204" i="1"/>
  <c r="BI1008" i="1"/>
  <c r="AE1008" i="1" s="1"/>
  <c r="BH1010" i="1"/>
  <c r="AD1010" i="1" s="1"/>
  <c r="BI1024" i="1"/>
  <c r="AE1024" i="1" s="1"/>
  <c r="BH1026" i="1"/>
  <c r="AD1026" i="1" s="1"/>
  <c r="BI1044" i="1"/>
  <c r="AC1044" i="1" s="1"/>
  <c r="BH1046" i="1"/>
  <c r="AB1046" i="1" s="1"/>
  <c r="BH1058" i="1"/>
  <c r="AB1058" i="1" s="1"/>
  <c r="BI1068" i="1"/>
  <c r="AC1068" i="1" s="1"/>
  <c r="BH1069" i="1"/>
  <c r="AB1069" i="1" s="1"/>
  <c r="AW1073" i="1"/>
  <c r="H1073" i="1"/>
  <c r="AX1075" i="1"/>
  <c r="I1075" i="1"/>
  <c r="AT1074" i="1"/>
  <c r="BC1079" i="1"/>
  <c r="AV1079" i="1"/>
  <c r="AX1087" i="1"/>
  <c r="AX1095" i="1"/>
  <c r="AX1124" i="1"/>
  <c r="BI1126" i="1"/>
  <c r="AC1126" i="1" s="1"/>
  <c r="AX1126" i="1"/>
  <c r="I1126" i="1"/>
  <c r="I1123" i="1" s="1"/>
  <c r="F88" i="2" s="1"/>
  <c r="BC1163" i="1"/>
  <c r="AV1163" i="1"/>
  <c r="BI1046" i="1"/>
  <c r="AC1046" i="1" s="1"/>
  <c r="BH1048" i="1"/>
  <c r="AB1048" i="1" s="1"/>
  <c r="BI1058" i="1"/>
  <c r="AC1058" i="1" s="1"/>
  <c r="BH1059" i="1"/>
  <c r="AB1059" i="1" s="1"/>
  <c r="BI1069" i="1"/>
  <c r="AC1069" i="1" s="1"/>
  <c r="AW1076" i="1"/>
  <c r="H1076" i="1"/>
  <c r="BI1098" i="1"/>
  <c r="AC1098" i="1" s="1"/>
  <c r="BI1103" i="1"/>
  <c r="AC1103" i="1" s="1"/>
  <c r="AX1106" i="1"/>
  <c r="G84" i="2"/>
  <c r="I84" i="2" s="1"/>
  <c r="AX1147" i="1"/>
  <c r="BC1147" i="1" s="1"/>
  <c r="I1147" i="1"/>
  <c r="I1139" i="1" s="1"/>
  <c r="F91" i="2" s="1"/>
  <c r="I1008" i="1"/>
  <c r="H1010" i="1"/>
  <c r="I1024" i="1"/>
  <c r="H1026" i="1"/>
  <c r="I1044" i="1"/>
  <c r="H1046" i="1"/>
  <c r="H1058" i="1"/>
  <c r="H1057" i="1" s="1"/>
  <c r="I1068" i="1"/>
  <c r="H1069" i="1"/>
  <c r="AW1088" i="1"/>
  <c r="AW1096" i="1"/>
  <c r="I1112" i="1"/>
  <c r="F85" i="2" s="1"/>
  <c r="I1128" i="1"/>
  <c r="I1127" i="1" s="1"/>
  <c r="F89" i="2" s="1"/>
  <c r="BI1128" i="1"/>
  <c r="AC1128" i="1" s="1"/>
  <c r="AX1128" i="1"/>
  <c r="BC1128" i="1" s="1"/>
  <c r="AW1131" i="1"/>
  <c r="BH1131" i="1"/>
  <c r="AX1076" i="1"/>
  <c r="BI1081" i="1"/>
  <c r="AC1081" i="1" s="1"/>
  <c r="AS1085" i="1"/>
  <c r="BI1087" i="1"/>
  <c r="AC1087" i="1" s="1"/>
  <c r="BI1090" i="1"/>
  <c r="AC1090" i="1" s="1"/>
  <c r="BI1095" i="1"/>
  <c r="AC1095" i="1" s="1"/>
  <c r="BH1099" i="1"/>
  <c r="AB1099" i="1" s="1"/>
  <c r="AV1100" i="1"/>
  <c r="BC1107" i="1"/>
  <c r="AV1107" i="1"/>
  <c r="AV1113" i="1"/>
  <c r="AX1115" i="1"/>
  <c r="I1115" i="1"/>
  <c r="BI1124" i="1"/>
  <c r="AC1124" i="1" s="1"/>
  <c r="AT1130" i="1"/>
  <c r="AV1137" i="1"/>
  <c r="BC1137" i="1"/>
  <c r="AW1072" i="1"/>
  <c r="AW1075" i="1"/>
  <c r="BC1081" i="1"/>
  <c r="AX1082" i="1"/>
  <c r="AV1082" i="1" s="1"/>
  <c r="I1083" i="1"/>
  <c r="AW1083" i="1"/>
  <c r="H1084" i="1"/>
  <c r="I1086" i="1"/>
  <c r="AW1086" i="1"/>
  <c r="H1087" i="1"/>
  <c r="BI1088" i="1"/>
  <c r="AC1088" i="1" s="1"/>
  <c r="BH1089" i="1"/>
  <c r="AB1089" i="1" s="1"/>
  <c r="BC1092" i="1"/>
  <c r="AX1093" i="1"/>
  <c r="AV1093" i="1" s="1"/>
  <c r="I1094" i="1"/>
  <c r="AW1094" i="1"/>
  <c r="H1095" i="1"/>
  <c r="BI1096" i="1"/>
  <c r="AC1096" i="1" s="1"/>
  <c r="BH1097" i="1"/>
  <c r="AB1097" i="1" s="1"/>
  <c r="BC1100" i="1"/>
  <c r="AX1101" i="1"/>
  <c r="AV1101" i="1" s="1"/>
  <c r="I1102" i="1"/>
  <c r="AW1102" i="1"/>
  <c r="H1103" i="1"/>
  <c r="I1105" i="1"/>
  <c r="I1104" i="1" s="1"/>
  <c r="F82" i="2" s="1"/>
  <c r="AW1105" i="1"/>
  <c r="H1106" i="1"/>
  <c r="H1104" i="1" s="1"/>
  <c r="E82" i="2" s="1"/>
  <c r="BI1107" i="1"/>
  <c r="AC1107" i="1" s="1"/>
  <c r="BH1113" i="1"/>
  <c r="AB1113" i="1" s="1"/>
  <c r="BH1118" i="1"/>
  <c r="AB1118" i="1" s="1"/>
  <c r="BI1121" i="1"/>
  <c r="AG1121" i="1" s="1"/>
  <c r="H1124" i="1"/>
  <c r="H1123" i="1" s="1"/>
  <c r="AW1126" i="1"/>
  <c r="AL1131" i="1"/>
  <c r="AU1130" i="1" s="1"/>
  <c r="J1130" i="1"/>
  <c r="G90" i="2" s="1"/>
  <c r="I90" i="2" s="1"/>
  <c r="AU1159" i="1"/>
  <c r="BI1161" i="1"/>
  <c r="AG1161" i="1" s="1"/>
  <c r="BC1162" i="1"/>
  <c r="AV1162" i="1"/>
  <c r="AV1173" i="1"/>
  <c r="BC1173" i="1"/>
  <c r="AX1083" i="1"/>
  <c r="AW1084" i="1"/>
  <c r="AX1086" i="1"/>
  <c r="AW1087" i="1"/>
  <c r="AX1094" i="1"/>
  <c r="AW1095" i="1"/>
  <c r="BI1097" i="1"/>
  <c r="AC1097" i="1" s="1"/>
  <c r="BH1098" i="1"/>
  <c r="AB1098" i="1" s="1"/>
  <c r="AX1102" i="1"/>
  <c r="AW1103" i="1"/>
  <c r="AX1105" i="1"/>
  <c r="AW1106" i="1"/>
  <c r="BH1110" i="1"/>
  <c r="AB1110" i="1" s="1"/>
  <c r="BI1113" i="1"/>
  <c r="AC1113" i="1" s="1"/>
  <c r="BH1115" i="1"/>
  <c r="AB1115" i="1" s="1"/>
  <c r="BI1118" i="1"/>
  <c r="AC1118" i="1" s="1"/>
  <c r="AW1124" i="1"/>
  <c r="BH1129" i="1"/>
  <c r="AB1129" i="1" s="1"/>
  <c r="AW1151" i="1"/>
  <c r="H1151" i="1"/>
  <c r="AX1158" i="1"/>
  <c r="AT1159" i="1"/>
  <c r="AV1170" i="1"/>
  <c r="BC1170" i="1"/>
  <c r="I1188" i="1"/>
  <c r="BI1188" i="1"/>
  <c r="AG1188" i="1" s="1"/>
  <c r="AX1188" i="1"/>
  <c r="BC1188" i="1" s="1"/>
  <c r="AW1211" i="1"/>
  <c r="BH1211" i="1"/>
  <c r="AF1211" i="1" s="1"/>
  <c r="H1211" i="1"/>
  <c r="AW1236" i="1"/>
  <c r="H1236" i="1"/>
  <c r="BH1236" i="1"/>
  <c r="AV1098" i="1"/>
  <c r="AV1115" i="1"/>
  <c r="I1132" i="1"/>
  <c r="BC1134" i="1"/>
  <c r="AW1136" i="1"/>
  <c r="H1136" i="1"/>
  <c r="H1130" i="1" s="1"/>
  <c r="E90" i="2" s="1"/>
  <c r="AS1139" i="1"/>
  <c r="AV1141" i="1"/>
  <c r="H1144" i="1"/>
  <c r="BI1144" i="1"/>
  <c r="AC1144" i="1" s="1"/>
  <c r="AW1145" i="1"/>
  <c r="AX1150" i="1"/>
  <c r="I1150" i="1"/>
  <c r="I1149" i="1" s="1"/>
  <c r="F92" i="2" s="1"/>
  <c r="AV1155" i="1"/>
  <c r="BH1162" i="1"/>
  <c r="AF1162" i="1" s="1"/>
  <c r="BI1092" i="1"/>
  <c r="AC1092" i="1" s="1"/>
  <c r="BH1093" i="1"/>
  <c r="AB1093" i="1" s="1"/>
  <c r="BI1100" i="1"/>
  <c r="AC1100" i="1" s="1"/>
  <c r="BH1101" i="1"/>
  <c r="AB1101" i="1" s="1"/>
  <c r="AU1139" i="1"/>
  <c r="AX1164" i="1"/>
  <c r="BC1164" i="1" s="1"/>
  <c r="I1164" i="1"/>
  <c r="AU1172" i="1"/>
  <c r="BC1180" i="1"/>
  <c r="BI1182" i="1"/>
  <c r="AC1182" i="1" s="1"/>
  <c r="I1182" i="1"/>
  <c r="AS1196" i="1"/>
  <c r="AW1229" i="1"/>
  <c r="H1229" i="1"/>
  <c r="BH1229" i="1"/>
  <c r="AW1231" i="1"/>
  <c r="BH1231" i="1"/>
  <c r="H1231" i="1"/>
  <c r="BC1234" i="1"/>
  <c r="AV1234" i="1"/>
  <c r="AL1128" i="1"/>
  <c r="AU1127" i="1" s="1"/>
  <c r="J1127" i="1"/>
  <c r="G89" i="2" s="1"/>
  <c r="I89" i="2" s="1"/>
  <c r="BH1128" i="1"/>
  <c r="AB1128" i="1" s="1"/>
  <c r="BH1132" i="1"/>
  <c r="BC1133" i="1"/>
  <c r="AW1140" i="1"/>
  <c r="H1140" i="1"/>
  <c r="BC1144" i="1"/>
  <c r="AV1144" i="1"/>
  <c r="BC1146" i="1"/>
  <c r="AW1148" i="1"/>
  <c r="H1148" i="1"/>
  <c r="AU1153" i="1"/>
  <c r="AX1161" i="1"/>
  <c r="BC1178" i="1"/>
  <c r="AV1178" i="1"/>
  <c r="AX1182" i="1"/>
  <c r="AW1129" i="1"/>
  <c r="AV1147" i="1"/>
  <c r="AV1152" i="1"/>
  <c r="AW1154" i="1"/>
  <c r="H1154" i="1"/>
  <c r="AV1156" i="1"/>
  <c r="BC1156" i="1"/>
  <c r="AV1169" i="1"/>
  <c r="AW1195" i="1"/>
  <c r="H1195" i="1"/>
  <c r="BH1195" i="1"/>
  <c r="AF1195" i="1" s="1"/>
  <c r="AL1199" i="1"/>
  <c r="AU1196" i="1" s="1"/>
  <c r="J1196" i="1"/>
  <c r="G98" i="2" s="1"/>
  <c r="I98" i="2" s="1"/>
  <c r="BI1145" i="1"/>
  <c r="AG1145" i="1" s="1"/>
  <c r="BH1146" i="1"/>
  <c r="AF1146" i="1" s="1"/>
  <c r="BC1152" i="1"/>
  <c r="J1153" i="1"/>
  <c r="G93" i="2" s="1"/>
  <c r="I93" i="2" s="1"/>
  <c r="BC1155" i="1"/>
  <c r="I1157" i="1"/>
  <c r="I1153" i="1" s="1"/>
  <c r="F93" i="2" s="1"/>
  <c r="H1158" i="1"/>
  <c r="I1160" i="1"/>
  <c r="I1159" i="1" s="1"/>
  <c r="F94" i="2" s="1"/>
  <c r="H1161" i="1"/>
  <c r="BI1162" i="1"/>
  <c r="AG1162" i="1" s="1"/>
  <c r="BH1163" i="1"/>
  <c r="AF1163" i="1" s="1"/>
  <c r="BC1166" i="1"/>
  <c r="BC1169" i="1"/>
  <c r="I1171" i="1"/>
  <c r="I1168" i="1" s="1"/>
  <c r="F95" i="2" s="1"/>
  <c r="I1175" i="1"/>
  <c r="I1177" i="1"/>
  <c r="AV1188" i="1"/>
  <c r="AV1200" i="1"/>
  <c r="BC1200" i="1"/>
  <c r="AL1218" i="1"/>
  <c r="AU1217" i="1" s="1"/>
  <c r="J1217" i="1"/>
  <c r="G99" i="2" s="1"/>
  <c r="I99" i="2" s="1"/>
  <c r="AV1223" i="1"/>
  <c r="BC1223" i="1"/>
  <c r="BI1133" i="1"/>
  <c r="BH1134" i="1"/>
  <c r="BI1146" i="1"/>
  <c r="AG1146" i="1" s="1"/>
  <c r="BH1147" i="1"/>
  <c r="AF1147" i="1" s="1"/>
  <c r="BH1150" i="1"/>
  <c r="AF1150" i="1" s="1"/>
  <c r="AX1157" i="1"/>
  <c r="AW1158" i="1"/>
  <c r="AX1160" i="1"/>
  <c r="AW1161" i="1"/>
  <c r="BI1163" i="1"/>
  <c r="AG1163" i="1" s="1"/>
  <c r="BH1164" i="1"/>
  <c r="AF1164" i="1" s="1"/>
  <c r="AX1171" i="1"/>
  <c r="AX1175" i="1"/>
  <c r="AX1177" i="1"/>
  <c r="AW1182" i="1"/>
  <c r="I1183" i="1"/>
  <c r="BH1184" i="1"/>
  <c r="AF1184" i="1" s="1"/>
  <c r="BC1186" i="1"/>
  <c r="AV1186" i="1"/>
  <c r="BC1194" i="1"/>
  <c r="AV1194" i="1"/>
  <c r="AW1198" i="1"/>
  <c r="H1198" i="1"/>
  <c r="AX1210" i="1"/>
  <c r="AV1216" i="1"/>
  <c r="BC1216" i="1"/>
  <c r="AV1219" i="1"/>
  <c r="BC1219" i="1"/>
  <c r="AV1221" i="1"/>
  <c r="BC1221" i="1"/>
  <c r="BI1136" i="1"/>
  <c r="BH1137" i="1"/>
  <c r="BI1140" i="1"/>
  <c r="AG1140" i="1" s="1"/>
  <c r="BH1141" i="1"/>
  <c r="AF1141" i="1" s="1"/>
  <c r="C18" i="3" s="1"/>
  <c r="BI1148" i="1"/>
  <c r="AC1148" i="1" s="1"/>
  <c r="BI1151" i="1"/>
  <c r="AG1151" i="1" s="1"/>
  <c r="BH1152" i="1"/>
  <c r="AF1152" i="1" s="1"/>
  <c r="BI1154" i="1"/>
  <c r="AG1154" i="1" s="1"/>
  <c r="BH1155" i="1"/>
  <c r="AF1155" i="1" s="1"/>
  <c r="BI1165" i="1"/>
  <c r="AG1165" i="1" s="1"/>
  <c r="BH1166" i="1"/>
  <c r="AF1166" i="1" s="1"/>
  <c r="BH1169" i="1"/>
  <c r="AF1169" i="1" s="1"/>
  <c r="BC1184" i="1"/>
  <c r="I1186" i="1"/>
  <c r="I1192" i="1"/>
  <c r="I1194" i="1"/>
  <c r="AV1208" i="1"/>
  <c r="BC1208" i="1"/>
  <c r="J1226" i="1"/>
  <c r="AW1235" i="1"/>
  <c r="H1235" i="1"/>
  <c r="BH1235" i="1"/>
  <c r="AW1238" i="1"/>
  <c r="J1179" i="1"/>
  <c r="G97" i="2" s="1"/>
  <c r="I97" i="2" s="1"/>
  <c r="BI1186" i="1"/>
  <c r="AG1186" i="1" s="1"/>
  <c r="BC1193" i="1"/>
  <c r="BI1194" i="1"/>
  <c r="AG1194" i="1" s="1"/>
  <c r="AX1205" i="1"/>
  <c r="AV1205" i="1" s="1"/>
  <c r="I1205" i="1"/>
  <c r="AW1206" i="1"/>
  <c r="H1206" i="1"/>
  <c r="BI1210" i="1"/>
  <c r="AG1210" i="1" s="1"/>
  <c r="H1238" i="1"/>
  <c r="AT1179" i="1"/>
  <c r="BI1183" i="1"/>
  <c r="AC1183" i="1" s="1"/>
  <c r="AV1184" i="1"/>
  <c r="I1197" i="1"/>
  <c r="BI1197" i="1"/>
  <c r="AG1197" i="1" s="1"/>
  <c r="AT1226" i="1"/>
  <c r="AT1196" i="1"/>
  <c r="AW1232" i="1"/>
  <c r="BH1232" i="1"/>
  <c r="H1232" i="1"/>
  <c r="BH1193" i="1"/>
  <c r="AF1193" i="1" s="1"/>
  <c r="BI1203" i="1"/>
  <c r="AG1203" i="1" s="1"/>
  <c r="BH1204" i="1"/>
  <c r="AF1204" i="1" s="1"/>
  <c r="H1227" i="1"/>
  <c r="BI1184" i="1"/>
  <c r="AG1184" i="1" s="1"/>
  <c r="BH1186" i="1"/>
  <c r="AF1186" i="1" s="1"/>
  <c r="AX1190" i="1"/>
  <c r="AW1191" i="1"/>
  <c r="BI1193" i="1"/>
  <c r="AG1193" i="1" s="1"/>
  <c r="BH1194" i="1"/>
  <c r="AF1194" i="1" s="1"/>
  <c r="BH1197" i="1"/>
  <c r="AF1197" i="1" s="1"/>
  <c r="AX1201" i="1"/>
  <c r="AW1202" i="1"/>
  <c r="BI1204" i="1"/>
  <c r="AG1204" i="1" s="1"/>
  <c r="BH1205" i="1"/>
  <c r="AF1205" i="1" s="1"/>
  <c r="AX1209" i="1"/>
  <c r="AW1210" i="1"/>
  <c r="I1217" i="1"/>
  <c r="F99" i="2" s="1"/>
  <c r="AS1217" i="1"/>
  <c r="I1221" i="1"/>
  <c r="H1239" i="1"/>
  <c r="AV1197" i="1"/>
  <c r="BI1212" i="1"/>
  <c r="AG1212" i="1" s="1"/>
  <c r="AV1213" i="1"/>
  <c r="I1214" i="1"/>
  <c r="BI1216" i="1"/>
  <c r="AG1216" i="1" s="1"/>
  <c r="BI1219" i="1"/>
  <c r="AG1219" i="1" s="1"/>
  <c r="AX1220" i="1"/>
  <c r="AV1220" i="1" s="1"/>
  <c r="BH1221" i="1"/>
  <c r="AF1221" i="1" s="1"/>
  <c r="BC1222" i="1"/>
  <c r="BI1227" i="1"/>
  <c r="AL1228" i="1"/>
  <c r="AU1226" i="1" s="1"/>
  <c r="AV1230" i="1"/>
  <c r="H1237" i="1"/>
  <c r="BI1239" i="1"/>
  <c r="F22" i="3"/>
  <c r="I18" i="4"/>
  <c r="F29" i="4" s="1"/>
  <c r="BI1199" i="1"/>
  <c r="AG1199" i="1" s="1"/>
  <c r="BH1200" i="1"/>
  <c r="AF1200" i="1" s="1"/>
  <c r="BI1207" i="1"/>
  <c r="AG1207" i="1" s="1"/>
  <c r="BH1208" i="1"/>
  <c r="AF1208" i="1" s="1"/>
  <c r="BC1228" i="1"/>
  <c r="I45" i="4"/>
  <c r="I24" i="3" s="1"/>
  <c r="H1213" i="1"/>
  <c r="H1220" i="1"/>
  <c r="H1217" i="1" s="1"/>
  <c r="E99" i="2" s="1"/>
  <c r="BC1239" i="1"/>
  <c r="AV1239" i="1"/>
  <c r="AW1212" i="1"/>
  <c r="BH1220" i="1"/>
  <c r="AF1220" i="1" s="1"/>
  <c r="H1228" i="1"/>
  <c r="AV1228" i="1"/>
  <c r="BI1231" i="1"/>
  <c r="I14" i="3"/>
  <c r="I22" i="3" s="1"/>
  <c r="I27" i="4"/>
  <c r="AV1227" i="1" l="1"/>
  <c r="AV1190" i="1"/>
  <c r="BC1205" i="1"/>
  <c r="H1159" i="1"/>
  <c r="E94" i="2" s="1"/>
  <c r="C19" i="3"/>
  <c r="H1074" i="1"/>
  <c r="E80" i="2" s="1"/>
  <c r="BC1093" i="1"/>
  <c r="BC1004" i="1"/>
  <c r="H913" i="1"/>
  <c r="E70" i="2" s="1"/>
  <c r="H730" i="1"/>
  <c r="E50" i="2" s="1"/>
  <c r="AV662" i="1"/>
  <c r="AV363" i="1"/>
  <c r="BC273" i="1"/>
  <c r="BC489" i="1"/>
  <c r="I230" i="1"/>
  <c r="F32" i="2" s="1"/>
  <c r="BC1199" i="1"/>
  <c r="AV406" i="1"/>
  <c r="AV1078" i="1"/>
  <c r="BC1213" i="1"/>
  <c r="BC40" i="1"/>
  <c r="AV40" i="1"/>
  <c r="AV479" i="1"/>
  <c r="I470" i="1"/>
  <c r="F44" i="2" s="1"/>
  <c r="BC1150" i="1"/>
  <c r="AV842" i="1"/>
  <c r="BC916" i="1"/>
  <c r="BC675" i="1"/>
  <c r="BC727" i="1"/>
  <c r="BC545" i="1"/>
  <c r="AV977" i="1"/>
  <c r="AV57" i="1"/>
  <c r="AV529" i="1"/>
  <c r="BC529" i="1"/>
  <c r="BC649" i="1"/>
  <c r="AV649" i="1"/>
  <c r="AV504" i="1"/>
  <c r="H470" i="1"/>
  <c r="E44" i="2" s="1"/>
  <c r="I507" i="1"/>
  <c r="F45" i="2" s="1"/>
  <c r="AV421" i="1"/>
  <c r="BC421" i="1"/>
  <c r="AV315" i="1"/>
  <c r="BC315" i="1"/>
  <c r="H1179" i="1"/>
  <c r="E97" i="2" s="1"/>
  <c r="AV969" i="1"/>
  <c r="BC975" i="1"/>
  <c r="BC1012" i="1"/>
  <c r="BC831" i="1"/>
  <c r="BC1207" i="1"/>
  <c r="BC1060" i="1"/>
  <c r="AV1060" i="1"/>
  <c r="BC85" i="1"/>
  <c r="AV85" i="1"/>
  <c r="BC282" i="1"/>
  <c r="BC213" i="1"/>
  <c r="AV817" i="1"/>
  <c r="AV535" i="1"/>
  <c r="H517" i="1"/>
  <c r="E46" i="2" s="1"/>
  <c r="H344" i="1"/>
  <c r="E35" i="2" s="1"/>
  <c r="I137" i="1"/>
  <c r="F27" i="2" s="1"/>
  <c r="AV1092" i="1"/>
  <c r="BC940" i="1"/>
  <c r="AV114" i="1"/>
  <c r="AV37" i="1"/>
  <c r="AV1110" i="1"/>
  <c r="BC1118" i="1"/>
  <c r="AV1118" i="1"/>
  <c r="H1153" i="1"/>
  <c r="E93" i="2" s="1"/>
  <c r="H1085" i="1"/>
  <c r="E81" i="2" s="1"/>
  <c r="BC1028" i="1"/>
  <c r="AV960" i="1"/>
  <c r="H937" i="1"/>
  <c r="E71" i="2" s="1"/>
  <c r="C16" i="3"/>
  <c r="AV31" i="1"/>
  <c r="AV1030" i="1"/>
  <c r="BC1030" i="1"/>
  <c r="BC1215" i="1"/>
  <c r="AV1215" i="1"/>
  <c r="AV451" i="1"/>
  <c r="I685" i="1"/>
  <c r="F49" i="2" s="1"/>
  <c r="H1033" i="1"/>
  <c r="E74" i="2" s="1"/>
  <c r="BC984" i="1"/>
  <c r="AV884" i="1"/>
  <c r="AV807" i="1"/>
  <c r="I411" i="1"/>
  <c r="F41" i="2" s="1"/>
  <c r="H61" i="1"/>
  <c r="E20" i="2" s="1"/>
  <c r="BC72" i="1"/>
  <c r="AV481" i="1"/>
  <c r="BC481" i="1"/>
  <c r="AV443" i="1"/>
  <c r="I1172" i="1"/>
  <c r="F96" i="2" s="1"/>
  <c r="H1196" i="1"/>
  <c r="E98" i="2" s="1"/>
  <c r="H1139" i="1"/>
  <c r="E91" i="2" s="1"/>
  <c r="H1062" i="1"/>
  <c r="E79" i="2" s="1"/>
  <c r="H801" i="1"/>
  <c r="E53" i="2" s="1"/>
  <c r="I937" i="1"/>
  <c r="F71" i="2" s="1"/>
  <c r="AV319" i="1"/>
  <c r="H411" i="1"/>
  <c r="E41" i="2" s="1"/>
  <c r="BC1183" i="1"/>
  <c r="AV1183" i="1"/>
  <c r="BC141" i="1"/>
  <c r="AV424" i="1"/>
  <c r="I1130" i="1"/>
  <c r="F90" i="2" s="1"/>
  <c r="AV809" i="1"/>
  <c r="C17" i="3"/>
  <c r="I22" i="1"/>
  <c r="F14" i="2" s="1"/>
  <c r="AV498" i="1"/>
  <c r="BC1237" i="1"/>
  <c r="BC866" i="1"/>
  <c r="BC267" i="1"/>
  <c r="AV267" i="1"/>
  <c r="AV497" i="1"/>
  <c r="BC497" i="1"/>
  <c r="AV347" i="1"/>
  <c r="BC1034" i="1"/>
  <c r="I786" i="1"/>
  <c r="F51" i="2" s="1"/>
  <c r="BC875" i="1"/>
  <c r="F76" i="2"/>
  <c r="I1050" i="1"/>
  <c r="F75" i="2" s="1"/>
  <c r="E58" i="2"/>
  <c r="E14" i="2"/>
  <c r="H12" i="1"/>
  <c r="E11" i="2" s="1"/>
  <c r="BC1238" i="1"/>
  <c r="AV1238" i="1"/>
  <c r="AV1198" i="1"/>
  <c r="BC1198" i="1"/>
  <c r="BC1177" i="1"/>
  <c r="AV1177" i="1"/>
  <c r="AV1157" i="1"/>
  <c r="BC1157" i="1"/>
  <c r="AV1140" i="1"/>
  <c r="BC1140" i="1"/>
  <c r="AV1136" i="1"/>
  <c r="BC1136" i="1"/>
  <c r="AV1151" i="1"/>
  <c r="BC1151" i="1"/>
  <c r="BC1106" i="1"/>
  <c r="AV1106" i="1"/>
  <c r="BC1087" i="1"/>
  <c r="AV1087" i="1"/>
  <c r="J1108" i="1"/>
  <c r="G83" i="2" s="1"/>
  <c r="BC1187" i="1"/>
  <c r="AV1187" i="1"/>
  <c r="AV1099" i="1"/>
  <c r="BC1099" i="1"/>
  <c r="AV1068" i="1"/>
  <c r="BC1068" i="1"/>
  <c r="AV1042" i="1"/>
  <c r="BC924" i="1"/>
  <c r="AV924" i="1"/>
  <c r="BC902" i="1"/>
  <c r="AV902" i="1"/>
  <c r="BC986" i="1"/>
  <c r="G57" i="2"/>
  <c r="I57" i="2" s="1"/>
  <c r="J821" i="1"/>
  <c r="G56" i="2" s="1"/>
  <c r="I1033" i="1"/>
  <c r="F74" i="2" s="1"/>
  <c r="BC583" i="1"/>
  <c r="AV583" i="1"/>
  <c r="AV950" i="1"/>
  <c r="BC950" i="1"/>
  <c r="BC367" i="1"/>
  <c r="AV367" i="1"/>
  <c r="AV260" i="1"/>
  <c r="BC260" i="1"/>
  <c r="BC290" i="1"/>
  <c r="AV290" i="1"/>
  <c r="BC500" i="1"/>
  <c r="C14" i="3"/>
  <c r="C22" i="3" s="1"/>
  <c r="BC302" i="1"/>
  <c r="AV302" i="1"/>
  <c r="AV75" i="1"/>
  <c r="BC75" i="1"/>
  <c r="AV27" i="1"/>
  <c r="AV1165" i="1"/>
  <c r="BC1165" i="1"/>
  <c r="AV994" i="1"/>
  <c r="BC994" i="1"/>
  <c r="BC1038" i="1"/>
  <c r="AV1038" i="1"/>
  <c r="BC787" i="1"/>
  <c r="AV787" i="1"/>
  <c r="AV601" i="1"/>
  <c r="BC475" i="1"/>
  <c r="AV475" i="1"/>
  <c r="BC223" i="1"/>
  <c r="AV223" i="1"/>
  <c r="C29" i="3"/>
  <c r="F29" i="3" s="1"/>
  <c r="AV1212" i="1"/>
  <c r="BC1212" i="1"/>
  <c r="BC1202" i="1"/>
  <c r="AV1202" i="1"/>
  <c r="I1196" i="1"/>
  <c r="F98" i="2" s="1"/>
  <c r="BC1171" i="1"/>
  <c r="AV1171" i="1"/>
  <c r="BC1195" i="1"/>
  <c r="AV1195" i="1"/>
  <c r="BC1231" i="1"/>
  <c r="AV1231" i="1"/>
  <c r="BC1145" i="1"/>
  <c r="AV1145" i="1"/>
  <c r="BC1236" i="1"/>
  <c r="AV1236" i="1"/>
  <c r="BC1103" i="1"/>
  <c r="AV1103" i="1"/>
  <c r="BC1084" i="1"/>
  <c r="AV1084" i="1"/>
  <c r="BC1096" i="1"/>
  <c r="AV1096" i="1"/>
  <c r="I1074" i="1"/>
  <c r="F80" i="2" s="1"/>
  <c r="BC1022" i="1"/>
  <c r="AV1077" i="1"/>
  <c r="BC1077" i="1"/>
  <c r="J1056" i="1"/>
  <c r="G77" i="2" s="1"/>
  <c r="AV948" i="1"/>
  <c r="AV981" i="1"/>
  <c r="AV992" i="1"/>
  <c r="AV875" i="1"/>
  <c r="BC944" i="1"/>
  <c r="AV944" i="1"/>
  <c r="I827" i="1"/>
  <c r="F58" i="2" s="1"/>
  <c r="BC608" i="1"/>
  <c r="AV608" i="1"/>
  <c r="BC621" i="1"/>
  <c r="BC551" i="1"/>
  <c r="AV551" i="1"/>
  <c r="AV656" i="1"/>
  <c r="AV624" i="1"/>
  <c r="BC624" i="1"/>
  <c r="AV554" i="1"/>
  <c r="BC554" i="1"/>
  <c r="AV469" i="1"/>
  <c r="BC360" i="1"/>
  <c r="AV360" i="1"/>
  <c r="BC323" i="1"/>
  <c r="AV323" i="1"/>
  <c r="BC526" i="1"/>
  <c r="AV526" i="1"/>
  <c r="BC509" i="1"/>
  <c r="AV509" i="1"/>
  <c r="BC412" i="1"/>
  <c r="AV412" i="1"/>
  <c r="BC1203" i="1"/>
  <c r="AV1203" i="1"/>
  <c r="BC823" i="1"/>
  <c r="AV823" i="1"/>
  <c r="AV796" i="1"/>
  <c r="BC796" i="1"/>
  <c r="AV659" i="1"/>
  <c r="BC659" i="1"/>
  <c r="BC548" i="1"/>
  <c r="AV548" i="1"/>
  <c r="BC1201" i="1"/>
  <c r="AV1201" i="1"/>
  <c r="BC1232" i="1"/>
  <c r="AV1232" i="1"/>
  <c r="BC1235" i="1"/>
  <c r="AV1235" i="1"/>
  <c r="BC1129" i="1"/>
  <c r="AV1129" i="1"/>
  <c r="AV1148" i="1"/>
  <c r="BC1148" i="1"/>
  <c r="BC1124" i="1"/>
  <c r="AV1124" i="1"/>
  <c r="BC1105" i="1"/>
  <c r="AV1105" i="1"/>
  <c r="BC1075" i="1"/>
  <c r="AV1075" i="1"/>
  <c r="BC1088" i="1"/>
  <c r="AV1088" i="1"/>
  <c r="BC998" i="1"/>
  <c r="AV998" i="1"/>
  <c r="AV1008" i="1"/>
  <c r="BC1008" i="1"/>
  <c r="BC946" i="1"/>
  <c r="AV946" i="1"/>
  <c r="H962" i="1"/>
  <c r="E72" i="2" s="1"/>
  <c r="G76" i="2"/>
  <c r="I76" i="2" s="1"/>
  <c r="J1050" i="1"/>
  <c r="G75" i="2" s="1"/>
  <c r="BC892" i="1"/>
  <c r="H857" i="1"/>
  <c r="E61" i="2" s="1"/>
  <c r="BC990" i="1"/>
  <c r="BC725" i="1"/>
  <c r="AV725" i="1"/>
  <c r="AV719" i="1"/>
  <c r="BC719" i="1"/>
  <c r="F65" i="2"/>
  <c r="I517" i="1"/>
  <c r="F46" i="2" s="1"/>
  <c r="BC466" i="1"/>
  <c r="AV466" i="1"/>
  <c r="AV430" i="1"/>
  <c r="AV357" i="1"/>
  <c r="AV353" i="1"/>
  <c r="BC508" i="1"/>
  <c r="C15" i="3"/>
  <c r="BC387" i="1"/>
  <c r="AV387" i="1"/>
  <c r="I61" i="1"/>
  <c r="F20" i="2" s="1"/>
  <c r="BC209" i="1"/>
  <c r="AV209" i="1"/>
  <c r="J89" i="1"/>
  <c r="G23" i="2" s="1"/>
  <c r="BC1014" i="1"/>
  <c r="AV1014" i="1"/>
  <c r="BC471" i="1"/>
  <c r="AV471" i="1"/>
  <c r="H1226" i="1"/>
  <c r="G102" i="2"/>
  <c r="I102" i="2" s="1"/>
  <c r="J1225" i="1"/>
  <c r="G101" i="2" s="1"/>
  <c r="J1224" i="1"/>
  <c r="G100" i="2" s="1"/>
  <c r="AV1164" i="1"/>
  <c r="BC1126" i="1"/>
  <c r="AV1126" i="1"/>
  <c r="BC1086" i="1"/>
  <c r="AV1086" i="1"/>
  <c r="BC1072" i="1"/>
  <c r="AV1072" i="1"/>
  <c r="AV1091" i="1"/>
  <c r="BC1091" i="1"/>
  <c r="BC1000" i="1"/>
  <c r="AV1000" i="1"/>
  <c r="AV1055" i="1"/>
  <c r="BC1031" i="1"/>
  <c r="AV1031" i="1"/>
  <c r="AV1006" i="1"/>
  <c r="I1062" i="1"/>
  <c r="F79" i="2" s="1"/>
  <c r="I962" i="1"/>
  <c r="F72" i="2" s="1"/>
  <c r="AV965" i="1"/>
  <c r="BC834" i="1"/>
  <c r="AV834" i="1"/>
  <c r="I730" i="1"/>
  <c r="F50" i="2" s="1"/>
  <c r="AV799" i="1"/>
  <c r="BC838" i="1"/>
  <c r="AV838" i="1"/>
  <c r="BC605" i="1"/>
  <c r="AV605" i="1"/>
  <c r="BC580" i="1"/>
  <c r="AV580" i="1"/>
  <c r="BC487" i="1"/>
  <c r="AV487" i="1"/>
  <c r="BC428" i="1"/>
  <c r="AV428" i="1"/>
  <c r="BC355" i="1"/>
  <c r="AV355" i="1"/>
  <c r="H157" i="1"/>
  <c r="E31" i="2" s="1"/>
  <c r="AV485" i="1"/>
  <c r="BC165" i="1"/>
  <c r="AV165" i="1"/>
  <c r="BC228" i="1"/>
  <c r="AV228" i="1"/>
  <c r="BC491" i="1"/>
  <c r="AV491" i="1"/>
  <c r="J1240" i="1"/>
  <c r="BC506" i="1"/>
  <c r="AV506" i="1"/>
  <c r="BC398" i="1"/>
  <c r="AV398" i="1"/>
  <c r="AV1206" i="1"/>
  <c r="BC1206" i="1"/>
  <c r="BC1175" i="1"/>
  <c r="AV1175" i="1"/>
  <c r="I1224" i="1"/>
  <c r="F100" i="2" s="1"/>
  <c r="F102" i="2"/>
  <c r="I1225" i="1"/>
  <c r="F101" i="2" s="1"/>
  <c r="BC1220" i="1"/>
  <c r="BC1161" i="1"/>
  <c r="AV1161" i="1"/>
  <c r="BC1229" i="1"/>
  <c r="AV1229" i="1"/>
  <c r="BC1211" i="1"/>
  <c r="AV1211" i="1"/>
  <c r="E88" i="2"/>
  <c r="H1108" i="1"/>
  <c r="E83" i="2" s="1"/>
  <c r="BC1094" i="1"/>
  <c r="AV1094" i="1"/>
  <c r="I1085" i="1"/>
  <c r="F81" i="2" s="1"/>
  <c r="BC1131" i="1"/>
  <c r="AV1131" i="1"/>
  <c r="BC1090" i="1"/>
  <c r="BC1073" i="1"/>
  <c r="AV1073" i="1"/>
  <c r="AV1189" i="1"/>
  <c r="BC1189" i="1"/>
  <c r="BC1101" i="1"/>
  <c r="BC967" i="1"/>
  <c r="AV967" i="1"/>
  <c r="BC1018" i="1"/>
  <c r="AV1018" i="1"/>
  <c r="AV935" i="1"/>
  <c r="BC935" i="1"/>
  <c r="BC927" i="1"/>
  <c r="G65" i="2"/>
  <c r="I65" i="2" s="1"/>
  <c r="J877" i="1"/>
  <c r="G64" i="2" s="1"/>
  <c r="AV812" i="1"/>
  <c r="BC812" i="1"/>
  <c r="BC667" i="1"/>
  <c r="AV667" i="1"/>
  <c r="BC735" i="1"/>
  <c r="AV735" i="1"/>
  <c r="AV922" i="1"/>
  <c r="BC653" i="1"/>
  <c r="AV653" i="1"/>
  <c r="BC628" i="1"/>
  <c r="AV628" i="1"/>
  <c r="BC971" i="1"/>
  <c r="AV971" i="1"/>
  <c r="AV716" i="1"/>
  <c r="BC716" i="1"/>
  <c r="BC577" i="1"/>
  <c r="BC461" i="1"/>
  <c r="AV461" i="1"/>
  <c r="AV393" i="1"/>
  <c r="BC340" i="1"/>
  <c r="AV340" i="1"/>
  <c r="E24" i="2"/>
  <c r="I292" i="1"/>
  <c r="F34" i="2" s="1"/>
  <c r="BC1160" i="1"/>
  <c r="AV1160" i="1"/>
  <c r="BC1190" i="1"/>
  <c r="BC1095" i="1"/>
  <c r="AV1095" i="1"/>
  <c r="BC1102" i="1"/>
  <c r="AV1102" i="1"/>
  <c r="BC1082" i="1"/>
  <c r="E78" i="2"/>
  <c r="H1056" i="1"/>
  <c r="E77" i="2" s="1"/>
  <c r="BC1076" i="1"/>
  <c r="AV1076" i="1"/>
  <c r="AV1150" i="1"/>
  <c r="F84" i="2"/>
  <c r="BC1064" i="1"/>
  <c r="AV1064" i="1"/>
  <c r="H983" i="1"/>
  <c r="E73" i="2" s="1"/>
  <c r="AV920" i="1"/>
  <c r="BC920" i="1"/>
  <c r="AV929" i="1"/>
  <c r="BC929" i="1"/>
  <c r="AV808" i="1"/>
  <c r="BC808" i="1"/>
  <c r="BC663" i="1"/>
  <c r="AV663" i="1"/>
  <c r="H841" i="1"/>
  <c r="E60" i="2" s="1"/>
  <c r="BC1036" i="1"/>
  <c r="AV1036" i="1"/>
  <c r="E65" i="2"/>
  <c r="BC729" i="1"/>
  <c r="AV729" i="1"/>
  <c r="F57" i="2"/>
  <c r="I821" i="1"/>
  <c r="F56" i="2" s="1"/>
  <c r="BC516" i="1"/>
  <c r="AV516" i="1"/>
  <c r="BC586" i="1"/>
  <c r="AV586" i="1"/>
  <c r="BC271" i="1"/>
  <c r="AV271" i="1"/>
  <c r="BC403" i="1"/>
  <c r="AV403" i="1"/>
  <c r="BC241" i="1"/>
  <c r="AV241" i="1"/>
  <c r="H437" i="1"/>
  <c r="E42" i="2" s="1"/>
  <c r="BC168" i="1"/>
  <c r="AV168" i="1"/>
  <c r="F24" i="2"/>
  <c r="BC243" i="1"/>
  <c r="AV29" i="1"/>
  <c r="BC29" i="1"/>
  <c r="AV238" i="1"/>
  <c r="BC1210" i="1"/>
  <c r="AV1210" i="1"/>
  <c r="BC1209" i="1"/>
  <c r="AV1209" i="1"/>
  <c r="BC1191" i="1"/>
  <c r="AV1191" i="1"/>
  <c r="BC1182" i="1"/>
  <c r="AV1182" i="1"/>
  <c r="BC1158" i="1"/>
  <c r="AV1158" i="1"/>
  <c r="AV1154" i="1"/>
  <c r="BC1154" i="1"/>
  <c r="I1179" i="1"/>
  <c r="F97" i="2" s="1"/>
  <c r="BC1083" i="1"/>
  <c r="AV1083" i="1"/>
  <c r="AV1128" i="1"/>
  <c r="AV1192" i="1"/>
  <c r="BC1192" i="1"/>
  <c r="AV1024" i="1"/>
  <c r="BC1024" i="1"/>
  <c r="BC1052" i="1"/>
  <c r="AV1052" i="1"/>
  <c r="AV1044" i="1"/>
  <c r="BC1044" i="1"/>
  <c r="BC988" i="1"/>
  <c r="AV988" i="1"/>
  <c r="F78" i="2"/>
  <c r="I983" i="1"/>
  <c r="F73" i="2" s="1"/>
  <c r="BC918" i="1"/>
  <c r="AV918" i="1"/>
  <c r="BC828" i="1"/>
  <c r="AV828" i="1"/>
  <c r="BC845" i="1"/>
  <c r="AV845" i="1"/>
  <c r="BC887" i="1"/>
  <c r="AV887" i="1"/>
  <c r="BC881" i="1"/>
  <c r="AV881" i="1"/>
  <c r="BC678" i="1"/>
  <c r="AV678" i="1"/>
  <c r="BC626" i="1"/>
  <c r="AV626" i="1"/>
  <c r="BC683" i="1"/>
  <c r="AV683" i="1"/>
  <c r="AV604" i="1"/>
  <c r="BC604" i="1"/>
  <c r="AV518" i="1"/>
  <c r="BC518" i="1"/>
  <c r="BC515" i="1"/>
  <c r="AV515" i="1"/>
  <c r="BC502" i="1"/>
  <c r="AV502" i="1"/>
  <c r="BC433" i="1"/>
  <c r="AV433" i="1"/>
  <c r="BC246" i="1"/>
  <c r="AV246" i="1"/>
  <c r="BC438" i="1"/>
  <c r="AV438" i="1"/>
  <c r="BC166" i="1"/>
  <c r="AV166" i="1"/>
  <c r="I1108" i="1" l="1"/>
  <c r="F83" i="2" s="1"/>
  <c r="G103" i="2"/>
  <c r="H877" i="1"/>
  <c r="E64" i="2" s="1"/>
  <c r="I1056" i="1"/>
  <c r="F77" i="2" s="1"/>
  <c r="I877" i="1"/>
  <c r="F64" i="2" s="1"/>
  <c r="H89" i="1"/>
  <c r="E23" i="2" s="1"/>
  <c r="I28" i="3"/>
  <c r="I29" i="3" s="1"/>
  <c r="H821" i="1"/>
  <c r="E56" i="2" s="1"/>
  <c r="I89" i="1"/>
  <c r="F23" i="2" s="1"/>
  <c r="E102" i="2"/>
  <c r="H1224" i="1"/>
  <c r="E100" i="2" s="1"/>
  <c r="H1225" i="1"/>
  <c r="E101" i="2" s="1"/>
  <c r="I12" i="1"/>
  <c r="F11" i="2" s="1"/>
</calcChain>
</file>

<file path=xl/sharedStrings.xml><?xml version="1.0" encoding="utf-8"?>
<sst xmlns="http://schemas.openxmlformats.org/spreadsheetml/2006/main" count="7565" uniqueCount="2434">
  <si>
    <t>Slepý stavební rozpočet</t>
  </si>
  <si>
    <t>Název stavby:</t>
  </si>
  <si>
    <t>"Autodílna - SAKO Brno, a.s., Černovická 15"</t>
  </si>
  <si>
    <t>Doba výstavby:</t>
  </si>
  <si>
    <t xml:space="preserve"> </t>
  </si>
  <si>
    <t>Objednatel:</t>
  </si>
  <si>
    <t>SAKO Brno, a.s., Jedovnická 4247/2, Židenice, 628</t>
  </si>
  <si>
    <t>Druh stavby:</t>
  </si>
  <si>
    <t>Skladovací hala - autodílna</t>
  </si>
  <si>
    <t>Začátek výstavby:</t>
  </si>
  <si>
    <t>01.10.2024</t>
  </si>
  <si>
    <t>Projektant:</t>
  </si>
  <si>
    <t>GARANT projekt s.r.o.,</t>
  </si>
  <si>
    <t>Lokalita:</t>
  </si>
  <si>
    <t>SAKO Brno, Černovická 454/15, Komárov, 617 00 Brno Jih</t>
  </si>
  <si>
    <t>Konec výstavby:</t>
  </si>
  <si>
    <t>Zhotovitel:</t>
  </si>
  <si>
    <t>-</t>
  </si>
  <si>
    <t>JKSO:</t>
  </si>
  <si>
    <t>8115171</t>
  </si>
  <si>
    <t>Zpracováno dne:</t>
  </si>
  <si>
    <t>20.08.2024</t>
  </si>
  <si>
    <t>Zpracoval:</t>
  </si>
  <si>
    <t>Č</t>
  </si>
  <si>
    <t>Kód</t>
  </si>
  <si>
    <t>Zkrácený popis</t>
  </si>
  <si>
    <t>MJ</t>
  </si>
  <si>
    <t>Množství</t>
  </si>
  <si>
    <t>Cena/MJ</t>
  </si>
  <si>
    <t>Náklady (Kč)</t>
  </si>
  <si>
    <t>Cenová</t>
  </si>
  <si>
    <t>ISWORK</t>
  </si>
  <si>
    <t>GROUPCODE</t>
  </si>
  <si>
    <t>VATTAX</t>
  </si>
  <si>
    <t>Rozměry</t>
  </si>
  <si>
    <t>(Kč)</t>
  </si>
  <si>
    <t>Dodávka</t>
  </si>
  <si>
    <t>Montáž</t>
  </si>
  <si>
    <t>Celkem</t>
  </si>
  <si>
    <t>soustava</t>
  </si>
  <si>
    <t>Přesuny</t>
  </si>
  <si>
    <t>Typ skupiny</t>
  </si>
  <si>
    <t>HSV mat</t>
  </si>
  <si>
    <t>HSV prac</t>
  </si>
  <si>
    <t>PSV mat</t>
  </si>
  <si>
    <t>PSV prac</t>
  </si>
  <si>
    <t>Mont mat</t>
  </si>
  <si>
    <t>Mont prac</t>
  </si>
  <si>
    <t>Ostatní mat.</t>
  </si>
  <si>
    <t>MAT</t>
  </si>
  <si>
    <t>WORK</t>
  </si>
  <si>
    <t>CELK</t>
  </si>
  <si>
    <t/>
  </si>
  <si>
    <t>Bourací a přípravné práce</t>
  </si>
  <si>
    <t>17</t>
  </si>
  <si>
    <t>Konstrukce ze zemin</t>
  </si>
  <si>
    <t>0. BP</t>
  </si>
  <si>
    <t>1</t>
  </si>
  <si>
    <t>174101101R00</t>
  </si>
  <si>
    <t>Zásyp jam, rýh, šachet se zhutněním - zásyp stávající jímky (fakturováno dle skutečnosti)</t>
  </si>
  <si>
    <t>m3</t>
  </si>
  <si>
    <t>RTS II / 2023</t>
  </si>
  <si>
    <t>17_</t>
  </si>
  <si>
    <t>0. BP_1_</t>
  </si>
  <si>
    <t>0. BP_</t>
  </si>
  <si>
    <t>20*2</t>
  </si>
  <si>
    <t>stávající jímka předpokládaná plocha 20 m2</t>
  </si>
  <si>
    <t>předpokládaná hloubka 2 m</t>
  </si>
  <si>
    <t>2</t>
  </si>
  <si>
    <t>583423602</t>
  </si>
  <si>
    <t>Kamenivo drcené 0/63, JHM zásyp stávající jímky (fakturováno dle skutečnosti)</t>
  </si>
  <si>
    <t>t</t>
  </si>
  <si>
    <t>40*1,8</t>
  </si>
  <si>
    <t>97</t>
  </si>
  <si>
    <t>Prorážení otvorů a ostatní bourací práce</t>
  </si>
  <si>
    <t>3</t>
  </si>
  <si>
    <t>970251150R00</t>
  </si>
  <si>
    <t>Řezání železobetonu hl. řezu 150 mm - u stávající konstrukce zvedací rampy</t>
  </si>
  <si>
    <t>m</t>
  </si>
  <si>
    <t>97_</t>
  </si>
  <si>
    <t>0. BP_9_</t>
  </si>
  <si>
    <t>13,8+13,8+2,86+2,86</t>
  </si>
  <si>
    <t>S</t>
  </si>
  <si>
    <t>Přesuny sutí</t>
  </si>
  <si>
    <t>4</t>
  </si>
  <si>
    <t>979990103R00</t>
  </si>
  <si>
    <t>Poplatek za uložení suti - beton, skupina odpadu 170101</t>
  </si>
  <si>
    <t>5</t>
  </si>
  <si>
    <t>S_</t>
  </si>
  <si>
    <t>66,97+13,24+3,7+0,61+0,31</t>
  </si>
  <si>
    <t>979990121R00</t>
  </si>
  <si>
    <t>Poplatek za uložení suti - asfaltové pásy, asfalt skupina odpadu 170302</t>
  </si>
  <si>
    <t>50,71</t>
  </si>
  <si>
    <t>6</t>
  </si>
  <si>
    <t>979990162R00</t>
  </si>
  <si>
    <t>Poplatek za uložení suti - dřevo+sklo, skupina odpadu 170904</t>
  </si>
  <si>
    <t>0,18</t>
  </si>
  <si>
    <t>okna</t>
  </si>
  <si>
    <t>7</t>
  </si>
  <si>
    <t>979990105R00</t>
  </si>
  <si>
    <t>Poplatek za uložení suti - cihelné výrobky, skupina odpadu 170102</t>
  </si>
  <si>
    <t>16,48</t>
  </si>
  <si>
    <t>zdivo stávající sklad</t>
  </si>
  <si>
    <t>8</t>
  </si>
  <si>
    <t>979951111R00</t>
  </si>
  <si>
    <t>Výkup kovů - železný šrot tl. do 4 mm</t>
  </si>
  <si>
    <t>litinové poklopy</t>
  </si>
  <si>
    <t>0,05</t>
  </si>
  <si>
    <t>parapety, klempířské výrobky</t>
  </si>
  <si>
    <t>0,194</t>
  </si>
  <si>
    <t>oplocení</t>
  </si>
  <si>
    <t>9</t>
  </si>
  <si>
    <t>979081111RT3</t>
  </si>
  <si>
    <t>Odvoz suti a vybour. hmot na skládku do 1 km</t>
  </si>
  <si>
    <t>84,83+50,71+0,18+16,48+0,424</t>
  </si>
  <si>
    <t>10</t>
  </si>
  <si>
    <t>979081121RT3</t>
  </si>
  <si>
    <t>Příplatek k odvozu za každý další 1 km (předpoklad do 20 km)</t>
  </si>
  <si>
    <t>152,624*19</t>
  </si>
  <si>
    <t>11</t>
  </si>
  <si>
    <t>Přípravné a přidružené práce</t>
  </si>
  <si>
    <t>113202111R00</t>
  </si>
  <si>
    <t>Vytrhání obrub obrubníků silničních</t>
  </si>
  <si>
    <t>11_</t>
  </si>
  <si>
    <t>9,5+14+9,5+2,1+2,1</t>
  </si>
  <si>
    <t>12</t>
  </si>
  <si>
    <t>2465191x</t>
  </si>
  <si>
    <t>Přeložení stávajícího elektrorozvaděče</t>
  </si>
  <si>
    <t>kpl.</t>
  </si>
  <si>
    <t>13</t>
  </si>
  <si>
    <t>2465192x</t>
  </si>
  <si>
    <t>Přemístění stávajícího ovládání zvedáku - v rámci nového objektu autodílny (přesun, odborné odpojení, napojení)</t>
  </si>
  <si>
    <t>721</t>
  </si>
  <si>
    <t>Vnitřní kanalizace</t>
  </si>
  <si>
    <t>14</t>
  </si>
  <si>
    <t>721210812R00</t>
  </si>
  <si>
    <t>Demontáž poklopů a vpustí kanalizace</t>
  </si>
  <si>
    <t>kus</t>
  </si>
  <si>
    <t>721_</t>
  </si>
  <si>
    <t>0. BP_72_</t>
  </si>
  <si>
    <t>15</t>
  </si>
  <si>
    <t>77785RVDx</t>
  </si>
  <si>
    <t>Vybourání stávající kanalizace / bude případně zasypáno</t>
  </si>
  <si>
    <t>762</t>
  </si>
  <si>
    <t>Konstrukce tesařské</t>
  </si>
  <si>
    <t>16</t>
  </si>
  <si>
    <t>762591100RT2</t>
  </si>
  <si>
    <t>Zakrytí stávajícího zvedacího zařízení fošnami tl. do 6 cm, včetně dodávky řeziva</t>
  </si>
  <si>
    <t>m2</t>
  </si>
  <si>
    <t>762_</t>
  </si>
  <si>
    <t>0. BP_76_</t>
  </si>
  <si>
    <t>11+11</t>
  </si>
  <si>
    <t>764</t>
  </si>
  <si>
    <t>Konstrukce klempířské</t>
  </si>
  <si>
    <t>764430840R00</t>
  </si>
  <si>
    <t>Demontáž oplechování zdí,rš od 330 do 500 mm - stávající objekt přiléhající haly</t>
  </si>
  <si>
    <t>764_</t>
  </si>
  <si>
    <t>21,5</t>
  </si>
  <si>
    <t>18</t>
  </si>
  <si>
    <t>764900050RAC</t>
  </si>
  <si>
    <t>Demontáž oplechování parapetů</t>
  </si>
  <si>
    <t>2,75*3</t>
  </si>
  <si>
    <t>767</t>
  </si>
  <si>
    <t>Konstrukce doplňkové stavební (zámečnické)</t>
  </si>
  <si>
    <t>19</t>
  </si>
  <si>
    <t>767833100R00x</t>
  </si>
  <si>
    <t>Přemístění stávajícího žebříku (demontáž + zpětná montáž)</t>
  </si>
  <si>
    <t>soubor</t>
  </si>
  <si>
    <t>767_</t>
  </si>
  <si>
    <t>20</t>
  </si>
  <si>
    <t>767990010RAx</t>
  </si>
  <si>
    <t>Demontáž venkovní lampy na fasádě</t>
  </si>
  <si>
    <t>ks</t>
  </si>
  <si>
    <t>u stávajícího objektu</t>
  </si>
  <si>
    <t>21</t>
  </si>
  <si>
    <t>767914830R00</t>
  </si>
  <si>
    <t>Demontáž oplocení rámového H do 2 m</t>
  </si>
  <si>
    <t>96</t>
  </si>
  <si>
    <t>Bourání konstrukcí</t>
  </si>
  <si>
    <t>22</t>
  </si>
  <si>
    <t>968083003R00</t>
  </si>
  <si>
    <t>Vybourání plastových oken do 4 m2</t>
  </si>
  <si>
    <t>96_</t>
  </si>
  <si>
    <t>(2,75*1,25)*3</t>
  </si>
  <si>
    <t>23</t>
  </si>
  <si>
    <t>962032432R00</t>
  </si>
  <si>
    <t>Bourání zdiva z dutých cihel nebo tvárnic na MVC - vyzdívka mezi sloupy u stávající haly</t>
  </si>
  <si>
    <t>4*4,3*0,2</t>
  </si>
  <si>
    <t>4,1*4,3*0,2-(2,75*1,25*0,2)</t>
  </si>
  <si>
    <t>4*4,3*0,2-(2,75*1,25*0,2)</t>
  </si>
  <si>
    <t>2,5*4,3*0,2</t>
  </si>
  <si>
    <t>24</t>
  </si>
  <si>
    <t>967052011R00x</t>
  </si>
  <si>
    <t>Demontáž betonové stříšky u stávajícího oplocení</t>
  </si>
  <si>
    <t>25</t>
  </si>
  <si>
    <t>65181155x</t>
  </si>
  <si>
    <t>Odstranění technických rozvodů a zařízení na štítové stěně (umyvadla, apod.)</t>
  </si>
  <si>
    <t>26</t>
  </si>
  <si>
    <t>965042141RT4</t>
  </si>
  <si>
    <t>Bourání litého asfaltu tl. 10 cm, nad 4 m2, pneumat. kladivo, tl. mazaniny 8 - 10 cm</t>
  </si>
  <si>
    <t>79,7*0,1</t>
  </si>
  <si>
    <t>150,8*0,1</t>
  </si>
  <si>
    <t>27</t>
  </si>
  <si>
    <t>965042241RT5</t>
  </si>
  <si>
    <t>Bourání mazanin betonových tl. nad 10 cm, nad 4 m2, pneumat. kladivo, tl. mazaniny 15 - 20 cm (předpoklad 20 cm)</t>
  </si>
  <si>
    <t>(92,5+59,7)*0,2</t>
  </si>
  <si>
    <t>28</t>
  </si>
  <si>
    <t>963051113R00</t>
  </si>
  <si>
    <t>Bourání ŽB stropů deskových tl. nad 8 cm - stropní deska nad bouranými jímkami</t>
  </si>
  <si>
    <t>27,5*0,2</t>
  </si>
  <si>
    <t>zasypávaná jímka</t>
  </si>
  <si>
    <t>1,512</t>
  </si>
  <si>
    <t>nad lapolem (jímkou)</t>
  </si>
  <si>
    <t>29</t>
  </si>
  <si>
    <t>965081813RT3</t>
  </si>
  <si>
    <t>Bourání dlažeb terac.,čedič. tl.do 30 mm, nad 1 m2, kamenná dlažba</t>
  </si>
  <si>
    <t>7,3</t>
  </si>
  <si>
    <t>30</t>
  </si>
  <si>
    <t>965081923R00</t>
  </si>
  <si>
    <t>Bourání dlažeb beton.,čedič.tl.40 mm, pl.nad 1 m2</t>
  </si>
  <si>
    <t>9,6*0,3</t>
  </si>
  <si>
    <t>H22</t>
  </si>
  <si>
    <t>Komunikace pozemní a letiště</t>
  </si>
  <si>
    <t>31</t>
  </si>
  <si>
    <t>998225111R00</t>
  </si>
  <si>
    <t>Přesun hmot, pozemní komunikace, kryt živičný, betonový</t>
  </si>
  <si>
    <t>H22_</t>
  </si>
  <si>
    <t>M65</t>
  </si>
  <si>
    <t>Elektroinstalace</t>
  </si>
  <si>
    <t>32</t>
  </si>
  <si>
    <t>650811126R00</t>
  </si>
  <si>
    <t>Demontáž hromosvodové svorky nad 2 šrouby</t>
  </si>
  <si>
    <t>M65_</t>
  </si>
  <si>
    <t>5,5+5,5+7,5</t>
  </si>
  <si>
    <t>Autodílna</t>
  </si>
  <si>
    <t>Hloubené vykopávky</t>
  </si>
  <si>
    <t>1.SO01</t>
  </si>
  <si>
    <t>33</t>
  </si>
  <si>
    <t>131201112R00</t>
  </si>
  <si>
    <t>Hloubení nezapaž. jam hor.3 do 1000 m3, STROJNĚ</t>
  </si>
  <si>
    <t>13_</t>
  </si>
  <si>
    <t>1.SO01_1_</t>
  </si>
  <si>
    <t>1.SO01_</t>
  </si>
  <si>
    <t>(23,3*20)*0,55</t>
  </si>
  <si>
    <t>(0,5*6,5)*0,55</t>
  </si>
  <si>
    <t>34</t>
  </si>
  <si>
    <t>132201111R00</t>
  </si>
  <si>
    <t>Hloubení rýh š.do 60 cm v hor.3 do 100 m3, STROJNĚ</t>
  </si>
  <si>
    <t>(1,4*0,7*0,8)*8</t>
  </si>
  <si>
    <t>základové patky</t>
  </si>
  <si>
    <t>(1,1*1,2*0,8)*2</t>
  </si>
  <si>
    <t>(1,4*1,2*0,8)*10</t>
  </si>
  <si>
    <t>(3,5*0,5*0,8)*2</t>
  </si>
  <si>
    <t>základové prahy</t>
  </si>
  <si>
    <t>(3,6*0,5*0,8)*2</t>
  </si>
  <si>
    <t>(0,85*0,3*0,8)*2</t>
  </si>
  <si>
    <t>(3,3*0,3*0,8)*2</t>
  </si>
  <si>
    <t>(1,9*0,3*0,8)*2</t>
  </si>
  <si>
    <t>(3,5*0,3*0,8)*4</t>
  </si>
  <si>
    <t>(2,4*0,3*0,8)*2</t>
  </si>
  <si>
    <t>(3,6*0,6*0,8)*2</t>
  </si>
  <si>
    <t>(1,4*0,2*0,8)*3</t>
  </si>
  <si>
    <t>19,2*1,2*0,8</t>
  </si>
  <si>
    <t>práh + energokanál</t>
  </si>
  <si>
    <t>35</t>
  </si>
  <si>
    <t>132201210R00</t>
  </si>
  <si>
    <t>Hloubení rýh š.do 200 cm hor.3 do 50 m3,STROJNĚ - u stěn budovy, v rohu budovy, u stáv. oplocení</t>
  </si>
  <si>
    <t>20,5*0,6*0,8</t>
  </si>
  <si>
    <t>u stávajícího oplocení</t>
  </si>
  <si>
    <t>20,25*0,6*0,8</t>
  </si>
  <si>
    <t>u stávající budovy</t>
  </si>
  <si>
    <t>36</t>
  </si>
  <si>
    <t>132201401R00</t>
  </si>
  <si>
    <t>Hloubený výkop pod základy v hor.3 - podbetonování základů u stávající stěny oplocení - pouze v případě absence zákla. pasů u stáv. oplocení</t>
  </si>
  <si>
    <t>20,5*0,5*0,8</t>
  </si>
  <si>
    <t>37</t>
  </si>
  <si>
    <t>132202521R00x</t>
  </si>
  <si>
    <t>Hloubení rýh v pásech max. do š. 150 cm - příplatek u podbetonování stávajícího oplocení - - pouze v případě absence zákla. pasů u stáv. oplocení</t>
  </si>
  <si>
    <t>38</t>
  </si>
  <si>
    <t>132201219R00</t>
  </si>
  <si>
    <t>Přípl.za lepivost,hloubení rýh 200cm,hor.3,STROJNĚ</t>
  </si>
  <si>
    <t>258,0875+57,48+19,56+8,2</t>
  </si>
  <si>
    <t>Přemístění výkopku</t>
  </si>
  <si>
    <t>39</t>
  </si>
  <si>
    <t>162701105R00</t>
  </si>
  <si>
    <t>Vodorovné přemístění výkopku z hor.1-4 do 10000 m</t>
  </si>
  <si>
    <t>16_</t>
  </si>
  <si>
    <t>40</t>
  </si>
  <si>
    <t>Zásyp jam, rýh, šachet se zhutněním - polštáře pod základové prahy</t>
  </si>
  <si>
    <t>(3,5*0,5*0,4)*2</t>
  </si>
  <si>
    <t>(3,6*0,5*0,4)*2</t>
  </si>
  <si>
    <t>(0,85*0,3*0,4)*2</t>
  </si>
  <si>
    <t>(3,3*0,3*0,4)*2</t>
  </si>
  <si>
    <t>(1,9*0,3*0,4)*2</t>
  </si>
  <si>
    <t>(3,5*0,3*0,4)*4</t>
  </si>
  <si>
    <t>(2,4*0,3*0,4)*2</t>
  </si>
  <si>
    <t>(3,6*0,6*0,4)*2</t>
  </si>
  <si>
    <t>(1,4*0,2*0,4)*3</t>
  </si>
  <si>
    <t>19,2*0,6*0,4</t>
  </si>
  <si>
    <t>41</t>
  </si>
  <si>
    <t>Zásyp jam, rýh, šachet se zhutněním - pod podkladní deskou</t>
  </si>
  <si>
    <t>253,7*0,2</t>
  </si>
  <si>
    <t>139,3*0,2</t>
  </si>
  <si>
    <t>42</t>
  </si>
  <si>
    <t>Kamenivo drcené 0/63, JHM - polštáře pod základové prahy, pod podkladní deskou</t>
  </si>
  <si>
    <t>13,22*1,8</t>
  </si>
  <si>
    <t>pod základovými prahy</t>
  </si>
  <si>
    <t>78,6*1,8</t>
  </si>
  <si>
    <t>pod ŽB deskou</t>
  </si>
  <si>
    <t>61</t>
  </si>
  <si>
    <t>Úprava povrchů vnitřní</t>
  </si>
  <si>
    <t>43</t>
  </si>
  <si>
    <t>612481211RT2</t>
  </si>
  <si>
    <t>Montáž výztužné sítě(perlinky)do stěrky-vnit.stěny, včetně výztužné sítě a stěrkového tmelu</t>
  </si>
  <si>
    <t>61_</t>
  </si>
  <si>
    <t>1.SO01_6_</t>
  </si>
  <si>
    <t>174,26</t>
  </si>
  <si>
    <t>stěna vystupující nad střechu - zevnitř</t>
  </si>
  <si>
    <t>pod obklady</t>
  </si>
  <si>
    <t>44</t>
  </si>
  <si>
    <t>612471411RT2</t>
  </si>
  <si>
    <t>Úprava vnitřních stěn aktivovaným štukem s použitím suché maltové směsi</t>
  </si>
  <si>
    <t>82,125-16,38</t>
  </si>
  <si>
    <t>-obklady</t>
  </si>
  <si>
    <t>stěna vystupující nad sřešní rovinu zevnitř</t>
  </si>
  <si>
    <t>45</t>
  </si>
  <si>
    <t>979999973R00</t>
  </si>
  <si>
    <t>Poplatek za uložení, zemina a kamení, (skup.170504)</t>
  </si>
  <si>
    <t>1.SO01_9_</t>
  </si>
  <si>
    <t>343,3275*1,8</t>
  </si>
  <si>
    <t>Úprava podloží a základové spáry</t>
  </si>
  <si>
    <t>46</t>
  </si>
  <si>
    <t>215901101RT5</t>
  </si>
  <si>
    <t>Zhutnění podloží z hornin nesoudržných do 92% PS</t>
  </si>
  <si>
    <t>21_</t>
  </si>
  <si>
    <t>1.SO01_2_</t>
  </si>
  <si>
    <t>23,3*20</t>
  </si>
  <si>
    <t>0,5*6,5</t>
  </si>
  <si>
    <t>Piloty</t>
  </si>
  <si>
    <t>47</t>
  </si>
  <si>
    <t>229942111R00</t>
  </si>
  <si>
    <t>D+M Trubkové mikropiloty z oc.11 523, hladké D 70 mm - přesná specifikace mikropilot viz. SKŘ.</t>
  </si>
  <si>
    <t>22_</t>
  </si>
  <si>
    <t>hl. 4,0 m</t>
  </si>
  <si>
    <t>(4*2)*8</t>
  </si>
  <si>
    <t>ŽB patky 2 mikropiloty</t>
  </si>
  <si>
    <t>(4*4)*12</t>
  </si>
  <si>
    <t>ŽB patky 4 mikropiloty</t>
  </si>
  <si>
    <t>12,8</t>
  </si>
  <si>
    <t>5% přirážka na spoje a sváry</t>
  </si>
  <si>
    <t>Základy</t>
  </si>
  <si>
    <t>48</t>
  </si>
  <si>
    <t>273313711R00</t>
  </si>
  <si>
    <t>Beton základových desek prostý C 25/30</t>
  </si>
  <si>
    <t>27_</t>
  </si>
  <si>
    <t>23,3*20*0,15</t>
  </si>
  <si>
    <t>vč. desky u energokanálu</t>
  </si>
  <si>
    <t>0,5*6,5*0,15</t>
  </si>
  <si>
    <t>49</t>
  </si>
  <si>
    <t>273351215R00</t>
  </si>
  <si>
    <t>Bednění stěn základových desek - zřízení</t>
  </si>
  <si>
    <t>20*0,4*2</t>
  </si>
  <si>
    <t>23,5*0,4*2</t>
  </si>
  <si>
    <t>19,5*0,4*2</t>
  </si>
  <si>
    <t>50</t>
  </si>
  <si>
    <t>273351216R00</t>
  </si>
  <si>
    <t>Bednění stěn základových desek - odstranění</t>
  </si>
  <si>
    <t>51</t>
  </si>
  <si>
    <t>273362021R00</t>
  </si>
  <si>
    <t>Výztuž základových desek ze svařovaných sití KARI</t>
  </si>
  <si>
    <t>106*0,0182</t>
  </si>
  <si>
    <t>KARI síť 6*150*150 - 18,2 1ks</t>
  </si>
  <si>
    <t>52</t>
  </si>
  <si>
    <t>631310002RA0</t>
  </si>
  <si>
    <t>Mazanina podkladní z betonu C 16/20, tl. 10 cm - pod základovými patkami, energokanálem</t>
  </si>
  <si>
    <t>(1,4*0,7)*8</t>
  </si>
  <si>
    <t>(1,1*1,2)*2</t>
  </si>
  <si>
    <t>(1,4*1,2)*10</t>
  </si>
  <si>
    <t>19,2*1,25*0,1</t>
  </si>
  <si>
    <t>energokanál</t>
  </si>
  <si>
    <t>53</t>
  </si>
  <si>
    <t>274313711R00</t>
  </si>
  <si>
    <t>Beton základových pasů prostý C 25/30</t>
  </si>
  <si>
    <t>(3,5*0,5*0,6)*2</t>
  </si>
  <si>
    <t>(3,6*0,5*0,6)*2</t>
  </si>
  <si>
    <t>(0,85*0,3*0,6)*2</t>
  </si>
  <si>
    <t>(3,3*0,3*0,6)*2</t>
  </si>
  <si>
    <t>(1,9*0,3*0,6)*2</t>
  </si>
  <si>
    <t>(3,5*0,3*0,6)*4</t>
  </si>
  <si>
    <t>(2,4*0,3*0,6)*2</t>
  </si>
  <si>
    <t>(3,6*0,6*0,6)*2</t>
  </si>
  <si>
    <t>(1,4*0,2*0,6)*3</t>
  </si>
  <si>
    <t>19,2*0,6*0,6</t>
  </si>
  <si>
    <t>54</t>
  </si>
  <si>
    <t>274354111R00</t>
  </si>
  <si>
    <t>Bednění základových pasů zřízení - v případě nutnosti</t>
  </si>
  <si>
    <t>(3,5*0,8)*2*2</t>
  </si>
  <si>
    <t>(3,6*0,8)*2*2</t>
  </si>
  <si>
    <t>(0,85*0,8)*2*2</t>
  </si>
  <si>
    <t>(3,3*0,8)*2*2</t>
  </si>
  <si>
    <t>(1,9*0,8)*2*2</t>
  </si>
  <si>
    <t>(3,5*0,8)*4*2</t>
  </si>
  <si>
    <t>(2,4*0,8)*2*2</t>
  </si>
  <si>
    <t>(1,4*0,8)*3*2</t>
  </si>
  <si>
    <t>19,2*0,8*2</t>
  </si>
  <si>
    <t>20,5*1,2</t>
  </si>
  <si>
    <t>podbetonování základů jednostranné</t>
  </si>
  <si>
    <t>55</t>
  </si>
  <si>
    <t>274354211R00</t>
  </si>
  <si>
    <t>Bednění základových pasů odstranění - v případě nutnosti</t>
  </si>
  <si>
    <t>56</t>
  </si>
  <si>
    <t>274361821R00</t>
  </si>
  <si>
    <t>Výztuž základových pasů (prahů včetně energokanálu) z betonářské oceli  B500B (10 505)</t>
  </si>
  <si>
    <t>dle TABULKY VÝZTUŽE - D.1.2</t>
  </si>
  <si>
    <t>297,92*0,000888</t>
  </si>
  <si>
    <t>8 průměr 12 - 297,92</t>
  </si>
  <si>
    <t>361,2*0,000395</t>
  </si>
  <si>
    <t>9 průměr 8 - 361,2</t>
  </si>
  <si>
    <t>1069,572*0,001578</t>
  </si>
  <si>
    <t>10 průměr 16 - 1069,572</t>
  </si>
  <si>
    <t>760,72*0,000888</t>
  </si>
  <si>
    <t>11 průměr 12 - 760,72</t>
  </si>
  <si>
    <t>34,88*0,000888</t>
  </si>
  <si>
    <t>12 průměr 12 - 34,88</t>
  </si>
  <si>
    <t>746,4*0,000395</t>
  </si>
  <si>
    <t>13 průměr 8 - 746,4</t>
  </si>
  <si>
    <t>378,08*0,000395</t>
  </si>
  <si>
    <t>14 průměr 8 - 378,08</t>
  </si>
  <si>
    <t>291,9*0,000395</t>
  </si>
  <si>
    <t>15 průměr 8 - 291,9</t>
  </si>
  <si>
    <t>498,96*0,000395</t>
  </si>
  <si>
    <t>16 průměr 8 - 498,96</t>
  </si>
  <si>
    <t>0,1779</t>
  </si>
  <si>
    <t>5% přirážka</t>
  </si>
  <si>
    <t>57</t>
  </si>
  <si>
    <t>275313711R00</t>
  </si>
  <si>
    <t>Beton základových patek prostý C 25/30</t>
  </si>
  <si>
    <t>(1,3*0,6*0,9)*8</t>
  </si>
  <si>
    <t>(1,1*0,95*0,9)*2</t>
  </si>
  <si>
    <t>(1,3*1,1*0,9)*10</t>
  </si>
  <si>
    <t>58</t>
  </si>
  <si>
    <t>275366006R00</t>
  </si>
  <si>
    <t>Výztuž základových patek z betonářské oceli B500B</t>
  </si>
  <si>
    <t>213,12*0,000888</t>
  </si>
  <si>
    <t>1 průměr 12 - 213,12</t>
  </si>
  <si>
    <t>128*0,000888</t>
  </si>
  <si>
    <t>2 průměr 12 - 128</t>
  </si>
  <si>
    <t>211,2*0,000888</t>
  </si>
  <si>
    <t>3 průměr 12 - 211,2</t>
  </si>
  <si>
    <t>229,6*0,000888</t>
  </si>
  <si>
    <t>4 průměr 12 - 229,6</t>
  </si>
  <si>
    <t>105,6*0,000888</t>
  </si>
  <si>
    <t>5 průměr 12 - 105,6</t>
  </si>
  <si>
    <t>568*0,000888</t>
  </si>
  <si>
    <t>6 průměr 12 - 568</t>
  </si>
  <si>
    <t>109,56*0,000888</t>
  </si>
  <si>
    <t>7 průměr 12 - 109,56</t>
  </si>
  <si>
    <t>0,069</t>
  </si>
  <si>
    <t>59</t>
  </si>
  <si>
    <t>275351215R00</t>
  </si>
  <si>
    <t>Bednění stěn základových patek - zřízení</t>
  </si>
  <si>
    <t>(1,4+0,7)*1*2)*8</t>
  </si>
  <si>
    <t>základové patky - případné bednění</t>
  </si>
  <si>
    <t>(1,1+1,2)*1*2)*2</t>
  </si>
  <si>
    <t>(1,4+1,2*1*1,2)*10</t>
  </si>
  <si>
    <t>60</t>
  </si>
  <si>
    <t>275351216R00</t>
  </si>
  <si>
    <t>Bednění stěn základových patek - odstranění</t>
  </si>
  <si>
    <t>274313611R00</t>
  </si>
  <si>
    <t>Beton základových pasů prostý C 16/20 - podbetonování u základů stávajícího oplocení¨-  pouze v případě absence zákla. pasů u stáv. oplocení</t>
  </si>
  <si>
    <t>Zdi podpěrné a volné</t>
  </si>
  <si>
    <t>62</t>
  </si>
  <si>
    <t>311237430R00</t>
  </si>
  <si>
    <t>Zdivo z cihel keramických, tepelněizolačních broušených P10, tl. 250 mm, lepené celoplošně</t>
  </si>
  <si>
    <t>31_</t>
  </si>
  <si>
    <t>1.SO01_3_</t>
  </si>
  <si>
    <t>0,5*5,75</t>
  </si>
  <si>
    <t>-0,5*0,25</t>
  </si>
  <si>
    <t>- věnec</t>
  </si>
  <si>
    <t>0,5*0,15</t>
  </si>
  <si>
    <t>0,5*4,75</t>
  </si>
  <si>
    <t>-0,5*0,15</t>
  </si>
  <si>
    <t>63</t>
  </si>
  <si>
    <t>311237446R00</t>
  </si>
  <si>
    <t>Zdivo z cihel keramických broušených P10-P15, tl. 300 mm, lepené celoplošně</t>
  </si>
  <si>
    <t>20,25*2,4</t>
  </si>
  <si>
    <t>64</t>
  </si>
  <si>
    <t>317168122R00</t>
  </si>
  <si>
    <t>Překlad plochý 145 x 71 x 1250 mm</t>
  </si>
  <si>
    <t>65</t>
  </si>
  <si>
    <t>962090511R00</t>
  </si>
  <si>
    <t>Montáž panelů stěn. sendvič.,tl. jádra do 100 mm</t>
  </si>
  <si>
    <t>168,9-2,65</t>
  </si>
  <si>
    <t>66</t>
  </si>
  <si>
    <t>61210426x</t>
  </si>
  <si>
    <t>Panel sendvičový stěnový, z minerální vlny, skryté kotvení, modulová/celková š. 1000/1054mm tl. 100mm</t>
  </si>
  <si>
    <t>-dveře</t>
  </si>
  <si>
    <t>;ztratné 2%; 3,325</t>
  </si>
  <si>
    <t>67</t>
  </si>
  <si>
    <t>962090512R00x</t>
  </si>
  <si>
    <t>Montáž panelů stěn. sendvič.,tl. jádra nad 100mm</t>
  </si>
  <si>
    <t>129,74</t>
  </si>
  <si>
    <t>východní</t>
  </si>
  <si>
    <t>132,74</t>
  </si>
  <si>
    <t>jižní</t>
  </si>
  <si>
    <t>-20-20-2,64</t>
  </si>
  <si>
    <t>-vrata a dveře</t>
  </si>
  <si>
    <t>164,33</t>
  </si>
  <si>
    <t>severní</t>
  </si>
  <si>
    <t>-20-20</t>
  </si>
  <si>
    <t>-vrata</t>
  </si>
  <si>
    <t>68</t>
  </si>
  <si>
    <t>Panel sendvičový stěnový, z minerální vlny, skryté kotvení, Uc=0,27 W/m2K, modulová/celková š. 1000/1054mm tl. 150mm</t>
  </si>
  <si>
    <t>344,17</t>
  </si>
  <si>
    <t>;ztratné 2%; 6,8834</t>
  </si>
  <si>
    <t>69</t>
  </si>
  <si>
    <t>963094112R00x</t>
  </si>
  <si>
    <t>Montáž panelů střeš. sendvič.,tl.jádra nad 100mm</t>
  </si>
  <si>
    <t>(22,8*10,4)*2</t>
  </si>
  <si>
    <t>6,25*0,7</t>
  </si>
  <si>
    <t>;ztratné 2%; 9,2483</t>
  </si>
  <si>
    <t>-(1,8*1,5)*6</t>
  </si>
  <si>
    <t>- světlíky</t>
  </si>
  <si>
    <t>70</t>
  </si>
  <si>
    <t>Panel sendvičový střešní, z minerální vlny, viditelné kotvení, Uc=0,2 W/m2K, modulová/celková š. 1000/1083mm tl. 200mm</t>
  </si>
  <si>
    <t>458,04</t>
  </si>
  <si>
    <t>autodílna</t>
  </si>
  <si>
    <t>objekt skladů</t>
  </si>
  <si>
    <t>71</t>
  </si>
  <si>
    <t>963094112R1xx</t>
  </si>
  <si>
    <t>Zapravení střešního panelu u stávajícího objeku skladů</t>
  </si>
  <si>
    <t>kpl</t>
  </si>
  <si>
    <t>72</t>
  </si>
  <si>
    <t>963094112R0xx</t>
  </si>
  <si>
    <t>Detail napojení cihelného zdiva na sedvičové panely</t>
  </si>
  <si>
    <t>20,25</t>
  </si>
  <si>
    <t>73</t>
  </si>
  <si>
    <t>311321411R00</t>
  </si>
  <si>
    <t>Železobeton nadzákladových zdí C 25/30 - stěna u energokanálu</t>
  </si>
  <si>
    <t>19,5*0,9*0,15</t>
  </si>
  <si>
    <t>u energokanálu</t>
  </si>
  <si>
    <t>74</t>
  </si>
  <si>
    <t>311351105RT1</t>
  </si>
  <si>
    <t>Bednění nadzákladových zdí, oboustranné, bednicí materiál prkna- zřízení</t>
  </si>
  <si>
    <t>19,5*0,9</t>
  </si>
  <si>
    <t>75</t>
  </si>
  <si>
    <t>311351106R00</t>
  </si>
  <si>
    <t>Bednění nadzákladových zdí, oboustranné - odstranění</t>
  </si>
  <si>
    <t>Stěny a příčky</t>
  </si>
  <si>
    <t>76</t>
  </si>
  <si>
    <t>342247542R00</t>
  </si>
  <si>
    <t>Příčky z cihel keramických broušených, na lepidlo, tl. 140 mm</t>
  </si>
  <si>
    <t>34_</t>
  </si>
  <si>
    <t>2,45*2,5-(0,8*2)</t>
  </si>
  <si>
    <t>2*2,5</t>
  </si>
  <si>
    <t>2*2,5-(0,8*2)</t>
  </si>
  <si>
    <t>77</t>
  </si>
  <si>
    <t>342255032R00</t>
  </si>
  <si>
    <t>Příčky z pórobetonového zdiva tl. 200 mm, min. 2,8 MPa, 0,12 W/m*K</t>
  </si>
  <si>
    <t>2,4*4,3</t>
  </si>
  <si>
    <t>- mezi pilíři stávající haly</t>
  </si>
  <si>
    <t>(4*4,3)*2</t>
  </si>
  <si>
    <t>(4,1*4,3)*2</t>
  </si>
  <si>
    <t>78</t>
  </si>
  <si>
    <t>Příčky z pórobetonového zdiva tl. 200 mm, min. 5 MPa, 0,13 W/m*K</t>
  </si>
  <si>
    <t>požární stěna</t>
  </si>
  <si>
    <t>19,9*3,53</t>
  </si>
  <si>
    <t>po 1. ŽB věnec</t>
  </si>
  <si>
    <t>19,9*3</t>
  </si>
  <si>
    <t>po 2. ŽB věnec</t>
  </si>
  <si>
    <t>37,5</t>
  </si>
  <si>
    <t>79</t>
  </si>
  <si>
    <t>346275115R00</t>
  </si>
  <si>
    <t>Přizdívky z desek Ytong tl. 100-150 mm</t>
  </si>
  <si>
    <t>1*2,5</t>
  </si>
  <si>
    <t>SO01.03 po strop</t>
  </si>
  <si>
    <t>1*1,2</t>
  </si>
  <si>
    <t>SO01.04 V.1,2</t>
  </si>
  <si>
    <t>80</t>
  </si>
  <si>
    <t>342941115R00</t>
  </si>
  <si>
    <t>Připojení příček spojkou vloženou při zdění - k HEA sloupům (vč. dodávky spojky do zdiva)</t>
  </si>
  <si>
    <t>Stropy a stropní konstrukce (pro pozemní stavby)</t>
  </si>
  <si>
    <t>81</t>
  </si>
  <si>
    <t>417321415R00</t>
  </si>
  <si>
    <t>Ztužující pásy a věnce z betonu železového C 30/37</t>
  </si>
  <si>
    <t>41_</t>
  </si>
  <si>
    <t>1.SO01_4_</t>
  </si>
  <si>
    <t>19,9*0,2*0,25</t>
  </si>
  <si>
    <t>ŽB věnec č.1</t>
  </si>
  <si>
    <t>ŽB věnec č.2</t>
  </si>
  <si>
    <t>(10,5*0,2*0,15)*2</t>
  </si>
  <si>
    <t>ŽB věnec horní</t>
  </si>
  <si>
    <t>20,25*0,3*0,15</t>
  </si>
  <si>
    <t>stěna u oplocení</t>
  </si>
  <si>
    <t>(2+2+2+2,45)*0,14*0,15</t>
  </si>
  <si>
    <t>ŽB věnec nad příčkami</t>
  </si>
  <si>
    <t>(0,5*0,2*0,2)*2</t>
  </si>
  <si>
    <t>ŽB věnec u tepelně izolačního zdiva</t>
  </si>
  <si>
    <t>(0,5*0,2*0,15)*2</t>
  </si>
  <si>
    <t>82</t>
  </si>
  <si>
    <t>417351115R00</t>
  </si>
  <si>
    <t>Bednění ztužujících pásů a věnců - zřízení</t>
  </si>
  <si>
    <t>(19,9*0,5)*2</t>
  </si>
  <si>
    <t>(10,5*0,2*2)*2</t>
  </si>
  <si>
    <t>(20,25*0,5)*2</t>
  </si>
  <si>
    <t>((2+2+2+2,45)*0,5)*2</t>
  </si>
  <si>
    <t>(0,5*0,5)*2</t>
  </si>
  <si>
    <t>83</t>
  </si>
  <si>
    <t>417351116R00</t>
  </si>
  <si>
    <t>Bednění ztužujících pásů a věnců - odstranění</t>
  </si>
  <si>
    <t>84</t>
  </si>
  <si>
    <t>417361821R00</t>
  </si>
  <si>
    <t>Výztuž ztužujících pásů a věnců z oceli B500B (10 505)</t>
  </si>
  <si>
    <t>0,2136</t>
  </si>
  <si>
    <t>výztuž pr. 12</t>
  </si>
  <si>
    <t>0,0308+0,011</t>
  </si>
  <si>
    <t>výztuž pr. 6</t>
  </si>
  <si>
    <t>85</t>
  </si>
  <si>
    <t>416022121R00</t>
  </si>
  <si>
    <t>Podhledy SDK,ocel.dvouúrov.křížový rošt,1x RB 12,5 - impregnovaná</t>
  </si>
  <si>
    <t>4,3</t>
  </si>
  <si>
    <t>86</t>
  </si>
  <si>
    <t>416091082R00</t>
  </si>
  <si>
    <t>Příplatek k podhledu sádrokart. za plochu do 5 m2</t>
  </si>
  <si>
    <t>87</t>
  </si>
  <si>
    <t>411321414R00</t>
  </si>
  <si>
    <t>Stropy deskové ze železobetonu C 25/30 XC4, XA2 - stropní deska lapolu</t>
  </si>
  <si>
    <t>3,6*1,8*0,2-(0,6*0,6*0,2*2)</t>
  </si>
  <si>
    <t>deska</t>
  </si>
  <si>
    <t>((0,75*0,3*0,15)*4</t>
  </si>
  <si>
    <t>komínky u poklopů</t>
  </si>
  <si>
    <t>((1*0,3*0,15)*2)*4</t>
  </si>
  <si>
    <t>88</t>
  </si>
  <si>
    <t>411361821R00</t>
  </si>
  <si>
    <t>Výztuž stropů z betonářské oceli B500B (10 505) - stropní deska lapolu</t>
  </si>
  <si>
    <t>0,0206</t>
  </si>
  <si>
    <t>1 průměr 8</t>
  </si>
  <si>
    <t>0,0839</t>
  </si>
  <si>
    <t>2 průměr 16</t>
  </si>
  <si>
    <t>0,0185</t>
  </si>
  <si>
    <t>3 průměr 16</t>
  </si>
  <si>
    <t>0,0262</t>
  </si>
  <si>
    <t>4 průměr 14</t>
  </si>
  <si>
    <t>0,0142</t>
  </si>
  <si>
    <t>5 průměr 14</t>
  </si>
  <si>
    <t>0,031</t>
  </si>
  <si>
    <t>6 průměr 12</t>
  </si>
  <si>
    <t>0,0153</t>
  </si>
  <si>
    <t>7 průměr 16</t>
  </si>
  <si>
    <t>0,0947</t>
  </si>
  <si>
    <t>8 průměr 16</t>
  </si>
  <si>
    <t>0,0117</t>
  </si>
  <si>
    <t>9 průměr 14</t>
  </si>
  <si>
    <t>0,0214</t>
  </si>
  <si>
    <t>10 průměr 14</t>
  </si>
  <si>
    <t>0,0071</t>
  </si>
  <si>
    <t>11 průměr 8</t>
  </si>
  <si>
    <t>0,0081</t>
  </si>
  <si>
    <t>12 průměr 8</t>
  </si>
  <si>
    <t>0,0458</t>
  </si>
  <si>
    <t>13 průměr 16</t>
  </si>
  <si>
    <t>0,02</t>
  </si>
  <si>
    <t>+ 5% přirážka</t>
  </si>
  <si>
    <t>89</t>
  </si>
  <si>
    <t>411351801R00</t>
  </si>
  <si>
    <t>Bednění čel stropních desek, zřízení</t>
  </si>
  <si>
    <t>4+4+2+2</t>
  </si>
  <si>
    <t>90</t>
  </si>
  <si>
    <t>411351802R00</t>
  </si>
  <si>
    <t>Bednění čel stropních desek, odstranění</t>
  </si>
  <si>
    <t>91</t>
  </si>
  <si>
    <t>411351201R00</t>
  </si>
  <si>
    <t>Bednění stropů deskových, podepření výšky do 3,5 m, zatížení do 5 kPa, včetně bednění překližovanou deskou</t>
  </si>
  <si>
    <t>1,4*3,2</t>
  </si>
  <si>
    <t>92</t>
  </si>
  <si>
    <t>411351102R00</t>
  </si>
  <si>
    <t>Bednění stropů deskových, vlastní - odstranění</t>
  </si>
  <si>
    <t>452</t>
  </si>
  <si>
    <t>Ostatní výrobky</t>
  </si>
  <si>
    <t>93</t>
  </si>
  <si>
    <t>4527271R</t>
  </si>
  <si>
    <t>D+M Střešní bodový světlík včetně základny, 1500x1800 mm, Uv=1,1 W/m2K dle specifikace v PD - P01</t>
  </si>
  <si>
    <t>452_</t>
  </si>
  <si>
    <t>94</t>
  </si>
  <si>
    <t>4527272R</t>
  </si>
  <si>
    <t>D+M Sněhový zachytávač, hliníkový plech tl. 3 mm  dle specifikace v PD - P02</t>
  </si>
  <si>
    <t>95</t>
  </si>
  <si>
    <t>4527273R</t>
  </si>
  <si>
    <t>D+M Prostup VZT potrubí přes střešní panel - výfuky VZT  dle specifikace v PD - P03</t>
  </si>
  <si>
    <t>4527274R</t>
  </si>
  <si>
    <t>D+M Prostup VZT potrubí přes střešní panel - rekuperační jednotka  dle specifikace v PD - P04</t>
  </si>
  <si>
    <t>4527275R</t>
  </si>
  <si>
    <t>D+M Šachtový litinový plynotěsný poklop, vnější průměr 785 mm, D400, vodotěsný + plynotěsný  dle specifikace v PD - P05</t>
  </si>
  <si>
    <t>98</t>
  </si>
  <si>
    <t>4527276R</t>
  </si>
  <si>
    <t>D+M Kónus DN 800, 1000/625 se stupadly, tl. 120 mm, dle specifikace v PD - P06</t>
  </si>
  <si>
    <t>99</t>
  </si>
  <si>
    <t>D+M Šachtový litinový plynotěsný poklop čtvercový, 600x600 mm, D400, vodotěsný + plynotěsný  dle specifikace v PD - P07</t>
  </si>
  <si>
    <t>Podkladní vrstvy komunikací, letišť a ploch</t>
  </si>
  <si>
    <t>100</t>
  </si>
  <si>
    <t>568111112R00</t>
  </si>
  <si>
    <t>Zřízení vrstvy z geotextilie skl.do 1:5,š.do 7,5 m</t>
  </si>
  <si>
    <t>56_</t>
  </si>
  <si>
    <t>1.SO01_5_</t>
  </si>
  <si>
    <t>101</t>
  </si>
  <si>
    <t>69366199</t>
  </si>
  <si>
    <t>Geotextilie FILTEK 500 g/m2 ze 100% PP</t>
  </si>
  <si>
    <t>469,24</t>
  </si>
  <si>
    <t>;ztratné 5%; 23,462</t>
  </si>
  <si>
    <t>Omítky ze suchých směsí</t>
  </si>
  <si>
    <t>102</t>
  </si>
  <si>
    <t>602012102R00</t>
  </si>
  <si>
    <t>Postřik cementový ručně</t>
  </si>
  <si>
    <t>60_</t>
  </si>
  <si>
    <t>20,25*2,2</t>
  </si>
  <si>
    <t>5,5*0,5</t>
  </si>
  <si>
    <t>stěny u stáv objektu skladu</t>
  </si>
  <si>
    <t>4,5*0,5</t>
  </si>
  <si>
    <t>2,15*2,5*2</t>
  </si>
  <si>
    <t>předsíň + WC</t>
  </si>
  <si>
    <t>1,75*2,5*2-(0,8*2)</t>
  </si>
  <si>
    <t>1*2,5*2-(1*2*2)</t>
  </si>
  <si>
    <t>1*1*2</t>
  </si>
  <si>
    <t>103</t>
  </si>
  <si>
    <t>602011211RT3</t>
  </si>
  <si>
    <t>Omítka na stěnách jádrová vápenocementová, strojně, tloušťka vrstvy 20 mm</t>
  </si>
  <si>
    <t>104</t>
  </si>
  <si>
    <t>602016193R00</t>
  </si>
  <si>
    <t>Penetrace hloubková stěn</t>
  </si>
  <si>
    <t>předsíň</t>
  </si>
  <si>
    <t>WC</t>
  </si>
  <si>
    <t>2,3*20,3</t>
  </si>
  <si>
    <t>stěna u oplocení před štukem</t>
  </si>
  <si>
    <t>Úprava povrchů vnější</t>
  </si>
  <si>
    <t>105</t>
  </si>
  <si>
    <t>622481211RT2</t>
  </si>
  <si>
    <t>Montáž výztužné sítě(perlinky)do stěrky-vněj.stěny, včetně výztužné sítě a stěrkového tmelu</t>
  </si>
  <si>
    <t>62_</t>
  </si>
  <si>
    <t>55,55</t>
  </si>
  <si>
    <t>vnější část požární stěny</t>
  </si>
  <si>
    <t>vnitřní část vystupující nad střechu</t>
  </si>
  <si>
    <t>0,5*2,4</t>
  </si>
  <si>
    <t>čelo stěny u oplocení</t>
  </si>
  <si>
    <t>0,4*7,8</t>
  </si>
  <si>
    <t>čelo požární stěny</t>
  </si>
  <si>
    <t>106</t>
  </si>
  <si>
    <t>622476213R00</t>
  </si>
  <si>
    <t>Omítka vnější silikonová, Weber, 2.vrst., slož.1-2, vč. penetrace a pastovité omítky se zrnem 2 mm</t>
  </si>
  <si>
    <t>65,87</t>
  </si>
  <si>
    <t>107</t>
  </si>
  <si>
    <t>622300047RAC</t>
  </si>
  <si>
    <t>KZS z minerálních desek, plocha bez otvorů, budovy nad 6 m, desky fasádní z minerálního vlákna, tl. 100 mm, včetně systémových lišt, lešení</t>
  </si>
  <si>
    <t>stěna u stávajícího objektu</t>
  </si>
  <si>
    <t>Podlahy a podlahové konstrukce</t>
  </si>
  <si>
    <t>108</t>
  </si>
  <si>
    <t>631315711RM1</t>
  </si>
  <si>
    <t>Mazanina betonová tl. 12 - 24 cm C 25/30</t>
  </si>
  <si>
    <t>63_</t>
  </si>
  <si>
    <t>447,1*0,2</t>
  </si>
  <si>
    <t>109</t>
  </si>
  <si>
    <t>631319155R00</t>
  </si>
  <si>
    <t>Příplatek za přehlaz. mazanin pod povlaky tl. 20cm</t>
  </si>
  <si>
    <t>110</t>
  </si>
  <si>
    <t>631362021R00</t>
  </si>
  <si>
    <t>Výztuž mazanin svařovanou sítí z drátů Kari</t>
  </si>
  <si>
    <t>0,0182*106*2</t>
  </si>
  <si>
    <t>Výplně otvorů</t>
  </si>
  <si>
    <t>111</t>
  </si>
  <si>
    <t>642942111RU3</t>
  </si>
  <si>
    <t>Osazení zárubní dveřních ocelových, pl. do 2,5 m2, včetně dodávky zárubně 700 x 1970 x 150 mm</t>
  </si>
  <si>
    <t>64_</t>
  </si>
  <si>
    <t>711</t>
  </si>
  <si>
    <t>Izolace proti vodě</t>
  </si>
  <si>
    <t>112</t>
  </si>
  <si>
    <t>711111001R00</t>
  </si>
  <si>
    <t>Provedení izolace proti vlhkosti na ploše vodorovné, 1x asfaltovým penetračním nátěrem</t>
  </si>
  <si>
    <t>711_</t>
  </si>
  <si>
    <t>1.SO01_71_</t>
  </si>
  <si>
    <t>u podkladní desky</t>
  </si>
  <si>
    <t>19,5*0,65</t>
  </si>
  <si>
    <t>113</t>
  </si>
  <si>
    <t>711112001R00</t>
  </si>
  <si>
    <t>Provedení izolace proti vlhkosti na ploše svislé, 1x asfaltovým penetračním nátěr</t>
  </si>
  <si>
    <t>20,25*1,5</t>
  </si>
  <si>
    <t>u oplocení (dilatace podbetonovaného základu)</t>
  </si>
  <si>
    <t>19,9*0,5</t>
  </si>
  <si>
    <t>u požární stěny</t>
  </si>
  <si>
    <t>(20*1)*2</t>
  </si>
  <si>
    <t>u energokanálu z obou stran</t>
  </si>
  <si>
    <t>114</t>
  </si>
  <si>
    <t>11163150</t>
  </si>
  <si>
    <t>Lak asfaltový izolační</t>
  </si>
  <si>
    <t>0,17</t>
  </si>
  <si>
    <t>spotřeba cca 0,3 kg/m2</t>
  </si>
  <si>
    <t>115</t>
  </si>
  <si>
    <t>711141559R00</t>
  </si>
  <si>
    <t>Provedení izolace proti vlhkosti na ploše vodorovné, asfaltovými pásy přitavením</t>
  </si>
  <si>
    <t>116</t>
  </si>
  <si>
    <t>711142559R00</t>
  </si>
  <si>
    <t>Provedení izolace proti vlhkosti na ploše svislé, asfaltovými pásy přitavením</t>
  </si>
  <si>
    <t>80,325</t>
  </si>
  <si>
    <t>117</t>
  </si>
  <si>
    <t>62852265</t>
  </si>
  <si>
    <t>Pás asfaltový modifikovaný , natavovací, kotvicí</t>
  </si>
  <si>
    <t>478,675</t>
  </si>
  <si>
    <t>;ztratné 5%; 27,95</t>
  </si>
  <si>
    <t>118</t>
  </si>
  <si>
    <t>711121131R00</t>
  </si>
  <si>
    <t>Provedení izolace proti vlhkosti na ploše vodorovné, 1x nátěrem asfaltovým - vnitřní část energokanálu</t>
  </si>
  <si>
    <t>0,5*19,2</t>
  </si>
  <si>
    <t>podlaha energokanálu</t>
  </si>
  <si>
    <t>119</t>
  </si>
  <si>
    <t>711122131RT1</t>
  </si>
  <si>
    <t>Provedení izolace proti vlhkosti na ploše svislé,1x nátěrem asfaltovým - vnitřní část energokanálu</t>
  </si>
  <si>
    <t>19,2*1</t>
  </si>
  <si>
    <t>stěny energokanálu</t>
  </si>
  <si>
    <t>120</t>
  </si>
  <si>
    <t>11163372.</t>
  </si>
  <si>
    <t>Suspenze asfaltová 2-složková např.(Gumoasfalt SA27), bal. 9,5 kg</t>
  </si>
  <si>
    <t>přepokládaná tl. 3 mm síla vrstvy</t>
  </si>
  <si>
    <t>4 kg/m2 - izolace staveb proti půdní vlhkosti</t>
  </si>
  <si>
    <t>121</t>
  </si>
  <si>
    <t>998711101R00</t>
  </si>
  <si>
    <t>Přesun hmot pro izolace proti vodě, výšky do 6 m</t>
  </si>
  <si>
    <t>713</t>
  </si>
  <si>
    <t>Izolace tepelné</t>
  </si>
  <si>
    <t>122</t>
  </si>
  <si>
    <t>713111121R00</t>
  </si>
  <si>
    <t>Montáž tepelné izolace stropů rovných spodem, drátem</t>
  </si>
  <si>
    <t>713_</t>
  </si>
  <si>
    <t>2,15*2</t>
  </si>
  <si>
    <t>SO01.03 + SO01.04</t>
  </si>
  <si>
    <t>123</t>
  </si>
  <si>
    <t>631521402</t>
  </si>
  <si>
    <t>Tepelná izolace z minerální vlny tl. 60 mm</t>
  </si>
  <si>
    <t>;ztratné 5%; 0,215</t>
  </si>
  <si>
    <t>124</t>
  </si>
  <si>
    <t>713111221RK4</t>
  </si>
  <si>
    <t>Montáž parozábrany, zavěšeného podhledu s přelepením spojů, vč. parozábrany</t>
  </si>
  <si>
    <t>125</t>
  </si>
  <si>
    <t>713130090RA0</t>
  </si>
  <si>
    <t>Izolace tepelná stěn - dilatace mezi objekty, u oplocení</t>
  </si>
  <si>
    <t>20,5*1,25</t>
  </si>
  <si>
    <t>EPS 50 mm - u základu oplocení</t>
  </si>
  <si>
    <t>20,5*2,5</t>
  </si>
  <si>
    <t>EPS 150 mm - mezi oplocením a stěnou</t>
  </si>
  <si>
    <t>20,5*0,5</t>
  </si>
  <si>
    <t>EPS 100 mm - na ŽB věnci u stěny oplocení</t>
  </si>
  <si>
    <t>20*5</t>
  </si>
  <si>
    <t>EPS 100 mm - mezi stáv objektem a autodílnou</t>
  </si>
  <si>
    <t>20*2,5</t>
  </si>
  <si>
    <t>EPS 180 mm - mezi stáv objektem a autodílnou</t>
  </si>
  <si>
    <t>126</t>
  </si>
  <si>
    <t>28375901</t>
  </si>
  <si>
    <t>Polystyren fasádní EPS 100 F</t>
  </si>
  <si>
    <t>20,5*1,25*0,05</t>
  </si>
  <si>
    <t>20,5*2,5*0,15</t>
  </si>
  <si>
    <t>20,5*0,5*0,1</t>
  </si>
  <si>
    <t>20*5*0,1</t>
  </si>
  <si>
    <t>20*2,5*0,18</t>
  </si>
  <si>
    <t>;ztratné 5%; 1,4496875</t>
  </si>
  <si>
    <t>127</t>
  </si>
  <si>
    <t>Izolace tepelná stěn - lepením</t>
  </si>
  <si>
    <t>19,2*0,9*2</t>
  </si>
  <si>
    <t>19,2*0,6</t>
  </si>
  <si>
    <t>128</t>
  </si>
  <si>
    <t>283754621</t>
  </si>
  <si>
    <t>Deska izolační XPS, tl. 50 mm</t>
  </si>
  <si>
    <t>46,05</t>
  </si>
  <si>
    <t>;ztratné 5%; 2,3025</t>
  </si>
  <si>
    <t>129</t>
  </si>
  <si>
    <t>998713102R00</t>
  </si>
  <si>
    <t>Přesun hmot pro izolace tepelné, výšky do 12 m</t>
  </si>
  <si>
    <t>130</t>
  </si>
  <si>
    <t>762112110RT2</t>
  </si>
  <si>
    <t>Montáž konstrukce stěn z řeziva hraněn. do 120 cm2, včetně dodávky řeziva, hranoly 100 x 100 mm - případné podepření výkopu u objektu, oplocení</t>
  </si>
  <si>
    <t>1.SO01_76_</t>
  </si>
  <si>
    <t>20,5</t>
  </si>
  <si>
    <t>podbetonování základů</t>
  </si>
  <si>
    <t>objekt autodílny</t>
  </si>
  <si>
    <t>131</t>
  </si>
  <si>
    <t>998762102R00</t>
  </si>
  <si>
    <t>Přesun hmot pro tesařské konstrukce, výšky do 12 m</t>
  </si>
  <si>
    <t>132</t>
  </si>
  <si>
    <t>764321961R00x</t>
  </si>
  <si>
    <t>Oplechování u hřebene, R.Š. 850, pozink. plech, jednostr. lak., RAL 9007 - K01</t>
  </si>
  <si>
    <t>22,849</t>
  </si>
  <si>
    <t>133</t>
  </si>
  <si>
    <t>764430250R12x</t>
  </si>
  <si>
    <t>Vnitřní oplechování u hřebene, R.Š. 540, pozink. plech, jednostr. lak, RAL 9007 - K02</t>
  </si>
  <si>
    <t>22,85</t>
  </si>
  <si>
    <t>134</t>
  </si>
  <si>
    <t>764430220R25x</t>
  </si>
  <si>
    <t>Vystřihovaná lišta dle profilu panelu, R.Š. 60, pozink. plech, jednostr. lak. RAL 9007- K03</t>
  </si>
  <si>
    <t>45,7</t>
  </si>
  <si>
    <t>135</t>
  </si>
  <si>
    <t>764430210R08x</t>
  </si>
  <si>
    <t>Krycí lišta žlabu, R.Š. 200, pozink. plech, jednostr. lak., RAL 9007 - K04</t>
  </si>
  <si>
    <t>136</t>
  </si>
  <si>
    <t>764430260RT2x</t>
  </si>
  <si>
    <t>Uzavírací oplechování, R.Š. 130, pozink. plech, jednostr. lak, RAL 9007 - K05</t>
  </si>
  <si>
    <t>137</t>
  </si>
  <si>
    <t>Okapnice, R.Š. 180, pozink. plech, jednostr. lak, RAL 9007 - K06</t>
  </si>
  <si>
    <t>138</t>
  </si>
  <si>
    <t>764430260RT1x</t>
  </si>
  <si>
    <t>Oplechování atiky, R.Š. 420, pozink. plech, jednostr. lak, RAL 9007 - K07</t>
  </si>
  <si>
    <t>20,676</t>
  </si>
  <si>
    <t>139</t>
  </si>
  <si>
    <t>764430260RT5x</t>
  </si>
  <si>
    <t>Zakončovací stěnová lišta, R.Š. 80, pozink. plech, jednostr. lak, RAL 9007 - K08</t>
  </si>
  <si>
    <t>20,697</t>
  </si>
  <si>
    <t>140</t>
  </si>
  <si>
    <t>764906319RS1x</t>
  </si>
  <si>
    <t>Lemování u stěny, R.Š. 330, pozink. plech, jednostr. lak., RAL 9007 - K09</t>
  </si>
  <si>
    <t>20,761</t>
  </si>
  <si>
    <t>141</t>
  </si>
  <si>
    <t>764906319RS4X</t>
  </si>
  <si>
    <t>Lemování zdi u sousední haly, R.Š. 520, pozink. plech, jednostr. lak., - K10</t>
  </si>
  <si>
    <t>20,173</t>
  </si>
  <si>
    <t>142</t>
  </si>
  <si>
    <t>764430210R09x</t>
  </si>
  <si>
    <t>Krycí lišta, R.Š. 160, pozink. plech, jednostr. lak., RAL 9007 - K11</t>
  </si>
  <si>
    <t>143</t>
  </si>
  <si>
    <t>764908106RT2x</t>
  </si>
  <si>
    <t>Žlab podokapní půlkruhový, pozink. plech, oboustr. lakovaný, DN 200, RAL 9007 - K12</t>
  </si>
  <si>
    <t>22,85*2</t>
  </si>
  <si>
    <t>144</t>
  </si>
  <si>
    <t>764551605RT2x</t>
  </si>
  <si>
    <t>Dešťový svod včetně kotlíku, DN 200, pozink. plech, jednostranně lakovaný - K13</t>
  </si>
  <si>
    <t>22,647</t>
  </si>
  <si>
    <t>145</t>
  </si>
  <si>
    <t>55351340.A</t>
  </si>
  <si>
    <t>Zábrana přelití žlabu rovná, velikost 300x100 mm - K14</t>
  </si>
  <si>
    <t>146</t>
  </si>
  <si>
    <t>Soklová lišta, R.Š. 100, pozink. plech, jednostr. lak, RAL 9007 - K15</t>
  </si>
  <si>
    <t>44,262</t>
  </si>
  <si>
    <t>147</t>
  </si>
  <si>
    <t>764430250R86x</t>
  </si>
  <si>
    <t>Oplechování stávajícího oplocení, R.Š. 460, pozink. plech, jednostr. lak, RAL 9007 - K16</t>
  </si>
  <si>
    <t>20,22</t>
  </si>
  <si>
    <t>148</t>
  </si>
  <si>
    <t>764430250R87x</t>
  </si>
  <si>
    <t>Oplechování stávajícího oplocení spodní, R.Š. 400, pozink. plech, jednostr. lak, RAL 9007 - K17</t>
  </si>
  <si>
    <t>20,307</t>
  </si>
  <si>
    <t>149</t>
  </si>
  <si>
    <t>764430250R88x</t>
  </si>
  <si>
    <t>Závětrná lišta, R.Š. 180, pozink. plech, jednostr. lak, RAL 9007 - K18</t>
  </si>
  <si>
    <t>0,35</t>
  </si>
  <si>
    <t>150</t>
  </si>
  <si>
    <t>998764102R00</t>
  </si>
  <si>
    <t>Přesun hmot pro klempířské konstr., výšky do 12 m</t>
  </si>
  <si>
    <t>766</t>
  </si>
  <si>
    <t>Konstrukce truhlářské</t>
  </si>
  <si>
    <t>151</t>
  </si>
  <si>
    <t>766642041R00x</t>
  </si>
  <si>
    <t>Vnější jednokř. dveře hladké z hliník. profilů, Uw max. 1,2 W/m2K, 1000x2225, levé, RAL 9007, RC2, panik. kování - dle specifikace - D01</t>
  </si>
  <si>
    <t>766_</t>
  </si>
  <si>
    <t>152</t>
  </si>
  <si>
    <t>348952262R00x</t>
  </si>
  <si>
    <t>Sekční průmyslová vrata 5,0x4,0m, souč. pr. tepla min. 1,2 W/m2*K, odstín RAL 9007 - V01</t>
  </si>
  <si>
    <t>153</t>
  </si>
  <si>
    <t>Sekční průmyslová vrata s integrovanými dveřmi 5,0x4,0m, souč. pr. tepla min. 1,5 W/m2*K, odstín RAL 9007 - V02</t>
  </si>
  <si>
    <t>154</t>
  </si>
  <si>
    <t>766642041R01x</t>
  </si>
  <si>
    <t>Vnitřní jednokř. dveře hladké z hliník. profilů, Uw max. 1,7 W/m2K, 1000x2225, pravé, RAL 9007,EW15-DP3 C2, panik. kování - dle specifikace - D02</t>
  </si>
  <si>
    <t>155</t>
  </si>
  <si>
    <t>Vnitřní jednokř. dveře bez proskl., 7000x1970, pravé, RAL 9007,jádro z leh. DTD desek, povrch. úprava HPL laminát - dle specifikace - D03</t>
  </si>
  <si>
    <t>156</t>
  </si>
  <si>
    <t>Dodatečné osazení integrovaných dveří do stávajících vrat, integrované dveře 900x1970 mm - paniková klika - V03s</t>
  </si>
  <si>
    <t>157</t>
  </si>
  <si>
    <t>998766102R00</t>
  </si>
  <si>
    <t>Přesun hmot pro truhlářské konstr., výšky do 12 m</t>
  </si>
  <si>
    <t>158</t>
  </si>
  <si>
    <t>767995108R00</t>
  </si>
  <si>
    <t>Výroba a montáž kov. atypických konstr. nad 500 kg</t>
  </si>
  <si>
    <t>kg</t>
  </si>
  <si>
    <t>10340</t>
  </si>
  <si>
    <t>HEA 450</t>
  </si>
  <si>
    <t>9079,9</t>
  </si>
  <si>
    <t>HEA 360</t>
  </si>
  <si>
    <t>11585,6</t>
  </si>
  <si>
    <t>HEB 160</t>
  </si>
  <si>
    <t>3020,4</t>
  </si>
  <si>
    <t>HEA 240</t>
  </si>
  <si>
    <t>1745,3</t>
  </si>
  <si>
    <t>1200,2</t>
  </si>
  <si>
    <t>RO89/5,6</t>
  </si>
  <si>
    <t>3796,3</t>
  </si>
  <si>
    <t>RHS 140/80/6,3</t>
  </si>
  <si>
    <t>159</t>
  </si>
  <si>
    <t>13486375x</t>
  </si>
  <si>
    <t>Tyč ocelová HEA 450, S235JR - OZN.01 (výkaz ocelové konstrukce D.1.2)</t>
  </si>
  <si>
    <t>10,34</t>
  </si>
  <si>
    <t>HEA 450 10 ks</t>
  </si>
  <si>
    <t>;ztratné 5%; 0,517</t>
  </si>
  <si>
    <t>160</t>
  </si>
  <si>
    <t>Tyč ocelová HEA 360, S235JR - OZN.02 (výkaz ocelové konstrukce D.1.2)</t>
  </si>
  <si>
    <t>9,0799</t>
  </si>
  <si>
    <t>HEA 360 10 ks</t>
  </si>
  <si>
    <t>;ztratné 5%; 0,453995</t>
  </si>
  <si>
    <t>161</t>
  </si>
  <si>
    <t>13487110x</t>
  </si>
  <si>
    <t>Tyč ocelová HEB 160, S235JR - OZN.10 (výkaz ocelové konstrukce D.1.2)</t>
  </si>
  <si>
    <t>11,5856</t>
  </si>
  <si>
    <t>HEB 160 12</t>
  </si>
  <si>
    <t>;ztratné 5%; 0,57928</t>
  </si>
  <si>
    <t>162</t>
  </si>
  <si>
    <t>13486325x</t>
  </si>
  <si>
    <t>Tyč ocelová HEA 240, S235JR - OZN.12,13,14 (výkaz ocelové konstrukce D.1.2)</t>
  </si>
  <si>
    <t>3,0204</t>
  </si>
  <si>
    <t>13 HEA 240 6</t>
  </si>
  <si>
    <t>;ztratné 5%; 0,238285</t>
  </si>
  <si>
    <t>1,7453</t>
  </si>
  <si>
    <t>14 HEA 240 3</t>
  </si>
  <si>
    <t>163</t>
  </si>
  <si>
    <t>14587795x</t>
  </si>
  <si>
    <t>RO89/5,6, S235JR - OZN. 16 (výkaz ocelové konstrukce D.1.2)</t>
  </si>
  <si>
    <t>1,2002</t>
  </si>
  <si>
    <t>;ztratné 5%; 0,06001</t>
  </si>
  <si>
    <t>164</t>
  </si>
  <si>
    <t>RHS 140/80/6,3, S235JR - OZN. 17 (výkaz ocelové konstrukce D.1.2)</t>
  </si>
  <si>
    <t>3,7963</t>
  </si>
  <si>
    <t>;ztratné 5%; 0,189815</t>
  </si>
  <si>
    <t>165</t>
  </si>
  <si>
    <t>767995107R00</t>
  </si>
  <si>
    <t>Výroba a montáž kov. atypických konstr. do 500 kg</t>
  </si>
  <si>
    <t>1878,4</t>
  </si>
  <si>
    <t>IPE 240</t>
  </si>
  <si>
    <t>2550,2</t>
  </si>
  <si>
    <t>166</t>
  </si>
  <si>
    <t>13482725</t>
  </si>
  <si>
    <t>Tyč ocelová IPE 240, S235JR - OZN.11 (výkaz ocelové konstrukce D.1.2)</t>
  </si>
  <si>
    <t>1,8794</t>
  </si>
  <si>
    <t>;ztratné 5%; 0,09397</t>
  </si>
  <si>
    <t>167</t>
  </si>
  <si>
    <t>13486325</t>
  </si>
  <si>
    <t>Tyč ocelová HEA 240, S235JR - OZN.12 (výkaz ocelové konstrukce D.1.2)</t>
  </si>
  <si>
    <t>2,5502</t>
  </si>
  <si>
    <t>;ztratné 5%; 0,12751</t>
  </si>
  <si>
    <t>168</t>
  </si>
  <si>
    <t>767995105R00</t>
  </si>
  <si>
    <t>Výroba a montáž kov. atypických konstr. do 100 kg</t>
  </si>
  <si>
    <t>621,7</t>
  </si>
  <si>
    <t>plotna P16/300/1650</t>
  </si>
  <si>
    <t>697,1</t>
  </si>
  <si>
    <t>plotna P16/300/1850</t>
  </si>
  <si>
    <t>805,4</t>
  </si>
  <si>
    <t>plotna P10/570/1800</t>
  </si>
  <si>
    <t>169</t>
  </si>
  <si>
    <t>13411150</t>
  </si>
  <si>
    <t>Plotna P16/300/1650, S355JR - OZN. 03 (výkaz ocelové konstrukce D.1.2)</t>
  </si>
  <si>
    <t>0,6217</t>
  </si>
  <si>
    <t>;ztratné 5%; 0,031085</t>
  </si>
  <si>
    <t>170</t>
  </si>
  <si>
    <t>Plotna P16/300/1850, S355JR - OZN. 04 (výkaz ocelové konstrukce D.1.2)</t>
  </si>
  <si>
    <t>0,6971</t>
  </si>
  <si>
    <t>;ztratné 5%; 0,034855</t>
  </si>
  <si>
    <t>171</t>
  </si>
  <si>
    <t>Plotna P10/570/1800, S355JR - OZN. 05 (výkaz ocelové konstrukce D.1.2)</t>
  </si>
  <si>
    <t>0,8054</t>
  </si>
  <si>
    <t>;ztratné 5%; 0,04027</t>
  </si>
  <si>
    <t>172</t>
  </si>
  <si>
    <t>767995104R00</t>
  </si>
  <si>
    <t>Výroba a montáž kov. atypických konstr. do 50 kg</t>
  </si>
  <si>
    <t>35,3</t>
  </si>
  <si>
    <t>plotna P20/30/750</t>
  </si>
  <si>
    <t>148,4</t>
  </si>
  <si>
    <t>plotna P15/300/420</t>
  </si>
  <si>
    <t>141,3</t>
  </si>
  <si>
    <t>plotna P15/150/400</t>
  </si>
  <si>
    <t>17,7</t>
  </si>
  <si>
    <t>plotna P10/150/150</t>
  </si>
  <si>
    <t>147,2</t>
  </si>
  <si>
    <t>plotna P20/250/250</t>
  </si>
  <si>
    <t>471</t>
  </si>
  <si>
    <t>plotna P30/500/400</t>
  </si>
  <si>
    <t>565,2</t>
  </si>
  <si>
    <t>plotna P30/400/400</t>
  </si>
  <si>
    <t>71,7</t>
  </si>
  <si>
    <t>plotna P10/145/315</t>
  </si>
  <si>
    <t>288,5</t>
  </si>
  <si>
    <t>plotna P25/300/490</t>
  </si>
  <si>
    <t>173</t>
  </si>
  <si>
    <t>Plotna P20/30/750, S355JR - OZN. 06 (výkaz ocelové konstrukce D.1.2)</t>
  </si>
  <si>
    <t>0,0353</t>
  </si>
  <si>
    <t>;ztratné 5%; 0,001765</t>
  </si>
  <si>
    <t>174</t>
  </si>
  <si>
    <t>Plotna P15/300/420, S355JR - OZN. 07 (výkaz ocelové konstrukce D.1.2)</t>
  </si>
  <si>
    <t>0,1484</t>
  </si>
  <si>
    <t>;ztratné 5%; 0,00742</t>
  </si>
  <si>
    <t>175</t>
  </si>
  <si>
    <t>Plotna P15/150/400, S355JR - OZN. 08 (výkaz ocelové konstrukce D.1.2)</t>
  </si>
  <si>
    <t>0,1413</t>
  </si>
  <si>
    <t>;ztratné 5%; 0,007065</t>
  </si>
  <si>
    <t>176</t>
  </si>
  <si>
    <t>Plotna P10/150/150, S355JR - OZN. 09 (výkaz ocelové konstrukce D.1.2)</t>
  </si>
  <si>
    <t>0,0177</t>
  </si>
  <si>
    <t>;ztratné 5%; 0,000885</t>
  </si>
  <si>
    <t>177</t>
  </si>
  <si>
    <t>Plotna P20/250/250, S355JR - OZN. 15 (výkaz ocelové konstrukce D.1.2)</t>
  </si>
  <si>
    <t>0,1472</t>
  </si>
  <si>
    <t>;ztratné 5%; 0,00736</t>
  </si>
  <si>
    <t>178</t>
  </si>
  <si>
    <t>Plotna P30/500/400, S355JR - OZN. 18 (výkaz ocelové konstrukce D.1.2)</t>
  </si>
  <si>
    <t>0,471</t>
  </si>
  <si>
    <t>;ztratné 5%; 0,02355</t>
  </si>
  <si>
    <t>179</t>
  </si>
  <si>
    <t>Plotna P30/400/400, S355JR - OZN. 19 (výkaz ocelové konstrukce D.1.2)</t>
  </si>
  <si>
    <t>0,5652</t>
  </si>
  <si>
    <t>;ztratné 5%; 0,02826</t>
  </si>
  <si>
    <t>180</t>
  </si>
  <si>
    <t>Plotna P10/145/315, S355JR - OZN. 20 (výkaz ocelové konstrukce D.1.2)</t>
  </si>
  <si>
    <t>0,0717</t>
  </si>
  <si>
    <t>;ztratné 5%; 0,003585</t>
  </si>
  <si>
    <t>181</t>
  </si>
  <si>
    <t>Plotna P25/300/490, S355JR - OZN. 21 (výkaz ocelové konstrukce D.1.2)</t>
  </si>
  <si>
    <t>0,2885</t>
  </si>
  <si>
    <t>;ztratné 5%; 0,014425</t>
  </si>
  <si>
    <t>182</t>
  </si>
  <si>
    <t>767995102R00</t>
  </si>
  <si>
    <t>Výroba a montáž kov. atypických konstr. do 10 kg</t>
  </si>
  <si>
    <t>183</t>
  </si>
  <si>
    <t>13486310</t>
  </si>
  <si>
    <t>Tyč ocelová HEA 180, S235JR - kotvení stěny k HEA sloupům</t>
  </si>
  <si>
    <t>0,0502</t>
  </si>
  <si>
    <t>;ztratné 2%; 0,001004</t>
  </si>
  <si>
    <t>184</t>
  </si>
  <si>
    <t>767584642R00</t>
  </si>
  <si>
    <t>Montáž podhledů ostatních  -  desky</t>
  </si>
  <si>
    <t>2,45*2</t>
  </si>
  <si>
    <t>185</t>
  </si>
  <si>
    <t>59590739</t>
  </si>
  <si>
    <t>Deska cementotřísková tl. 16 mm</t>
  </si>
  <si>
    <t>;ztratné 5%; 0,245</t>
  </si>
  <si>
    <t>186</t>
  </si>
  <si>
    <t>2651891X</t>
  </si>
  <si>
    <t>D+M ochranná bariéra, výšky 1,5 m, pr. bariéry 110 mm, včetně povrchové úpravy, dle specifikace v PD - Z01</t>
  </si>
  <si>
    <t>187</t>
  </si>
  <si>
    <t>2651892X</t>
  </si>
  <si>
    <t>D+M hasící přístroj CO2 55B dle specifikace v PD - Z02</t>
  </si>
  <si>
    <t>188</t>
  </si>
  <si>
    <t>Výroba a montáž kov. atypických konstr. do 100 kg - Z03, Z04, Z09</t>
  </si>
  <si>
    <t>143,65*2</t>
  </si>
  <si>
    <t>Z03</t>
  </si>
  <si>
    <t>187,34*2</t>
  </si>
  <si>
    <t>Z04</t>
  </si>
  <si>
    <t>58,36*10</t>
  </si>
  <si>
    <t>Z09</t>
  </si>
  <si>
    <t>189</t>
  </si>
  <si>
    <t>13227958</t>
  </si>
  <si>
    <t>Ocelová nosná podkonstrukce vrat, dle specifikace v PD - Z03</t>
  </si>
  <si>
    <t>0,14365*4</t>
  </si>
  <si>
    <t>;ztratné 2%; 0,011492</t>
  </si>
  <si>
    <t>190</t>
  </si>
  <si>
    <t>Ocelová nosná podkonstrukce vnitřních/vnějších dveří dle specifikace v PD - Z04</t>
  </si>
  <si>
    <t>0,18734*2</t>
  </si>
  <si>
    <t>191</t>
  </si>
  <si>
    <t>Pomocný L profil v místě napojení soklu / napojení stěny dle specifikace v PD - Z09</t>
  </si>
  <si>
    <t>0,05836*10</t>
  </si>
  <si>
    <t>192</t>
  </si>
  <si>
    <t>767995103R00</t>
  </si>
  <si>
    <t>Výroba a montáž kov. atypických konstr. do 20 kg - Z06, Z07, Z11, Z16</t>
  </si>
  <si>
    <t>11,6*5</t>
  </si>
  <si>
    <t>Z06</t>
  </si>
  <si>
    <t>401,04</t>
  </si>
  <si>
    <t>Z07</t>
  </si>
  <si>
    <t>53,76</t>
  </si>
  <si>
    <t>Z11</t>
  </si>
  <si>
    <t>434,6</t>
  </si>
  <si>
    <t>Z16</t>
  </si>
  <si>
    <t>193</t>
  </si>
  <si>
    <t>Ocelová nosná podkonstrukce vnitřních/vnějších dveří dle specifikace v PD - Z06</t>
  </si>
  <si>
    <t>0,01116*5</t>
  </si>
  <si>
    <t>194</t>
  </si>
  <si>
    <t>Pomocný jekl + L profil pro uchycení střešního světlíku dle specifikace v PD - Z07</t>
  </si>
  <si>
    <t>0,401</t>
  </si>
  <si>
    <t>;ztratné 2%; 0,00802</t>
  </si>
  <si>
    <t>195</t>
  </si>
  <si>
    <t>Doplnění pracen u prahu pod průmyslovými vraty dle specifikace v PD - Z11</t>
  </si>
  <si>
    <t>0,05376</t>
  </si>
  <si>
    <t>;ztratné 2%; 0,0010752</t>
  </si>
  <si>
    <t>196</t>
  </si>
  <si>
    <t>13640720</t>
  </si>
  <si>
    <t>Plech lístkový S235JR 5,00 x 1000 x 2000 mm - Z16</t>
  </si>
  <si>
    <t>0,4346</t>
  </si>
  <si>
    <t>197</t>
  </si>
  <si>
    <t>Výroba a montáž kov. atypických konstr. do 50 kg -Z08, Z12, Z17</t>
  </si>
  <si>
    <t>393,39</t>
  </si>
  <si>
    <t>Z08</t>
  </si>
  <si>
    <t>264,96</t>
  </si>
  <si>
    <t>Z12</t>
  </si>
  <si>
    <t>167,4</t>
  </si>
  <si>
    <t>Z17</t>
  </si>
  <si>
    <t>198</t>
  </si>
  <si>
    <t>Pomocný jakl pro uchycení průmyslových vrat dle specifikace v PD - Z08</t>
  </si>
  <si>
    <t>0,39339</t>
  </si>
  <si>
    <t>199</t>
  </si>
  <si>
    <t>Pomocný L profil v místě napojení stěnového a střešního panelu dle specifikace v PD - Z12</t>
  </si>
  <si>
    <t>0,26496</t>
  </si>
  <si>
    <t>200</t>
  </si>
  <si>
    <t>Pomocný jakl pro uchycení průmyslových vrat dle specifikace v PD - Z17</t>
  </si>
  <si>
    <t>0,1674</t>
  </si>
  <si>
    <t>201</t>
  </si>
  <si>
    <t>Výroba a montáž kov. atypických konstr. do 10 kg - Z14, Z15</t>
  </si>
  <si>
    <t>17,1</t>
  </si>
  <si>
    <t>Z14</t>
  </si>
  <si>
    <t>9,06*7</t>
  </si>
  <si>
    <t>Z15</t>
  </si>
  <si>
    <t>202</t>
  </si>
  <si>
    <t>Uchycení odsávacího hadicového navijáku dle specifikace v PD - Z14</t>
  </si>
  <si>
    <t>0,0171</t>
  </si>
  <si>
    <t>;ztratné 2%; 0,000342</t>
  </si>
  <si>
    <t>203</t>
  </si>
  <si>
    <t>Nerovnoramenný L profil - horní část energokanálu dle specifikace v PD - Z15</t>
  </si>
  <si>
    <t>0,06342</t>
  </si>
  <si>
    <t>;ztratné 2%; 0,0012684</t>
  </si>
  <si>
    <t>204</t>
  </si>
  <si>
    <t>767995104R00x</t>
  </si>
  <si>
    <t>D+M pevného kovového žebříku pro výstup nad střechu, průchozí šířka 600 mm, - Z10</t>
  </si>
  <si>
    <t>205</t>
  </si>
  <si>
    <t>767833291R00</t>
  </si>
  <si>
    <t>Příplatek za montáž žebříků na ocel.konstrukci</t>
  </si>
  <si>
    <t>206</t>
  </si>
  <si>
    <t>998767102R00</t>
  </si>
  <si>
    <t>Přesun hmot pro zámečnické konstr., výšky do 12 m</t>
  </si>
  <si>
    <t>771</t>
  </si>
  <si>
    <t>Podlahy z dlaždic</t>
  </si>
  <si>
    <t>207</t>
  </si>
  <si>
    <t>771315191R00</t>
  </si>
  <si>
    <t>Dilatační a separační páska na stěnu š. 25 mm</t>
  </si>
  <si>
    <t>771_</t>
  </si>
  <si>
    <t>1.SO01_77_</t>
  </si>
  <si>
    <t>19,6+19,6+0,75+0,75</t>
  </si>
  <si>
    <t>podél stěn</t>
  </si>
  <si>
    <t>208</t>
  </si>
  <si>
    <t>771101121R00</t>
  </si>
  <si>
    <t>Provedení penetrace podkladu pod dlažby</t>
  </si>
  <si>
    <t>SO01.3</t>
  </si>
  <si>
    <t>SO01.4</t>
  </si>
  <si>
    <t>209</t>
  </si>
  <si>
    <t>771212117R00</t>
  </si>
  <si>
    <t>Kladení dlažby keramické do TM, vel. do 600x600 mm</t>
  </si>
  <si>
    <t>210</t>
  </si>
  <si>
    <t>597642070</t>
  </si>
  <si>
    <t>Dlažba keramická 600 x 600 x - bude zvolena dle výběru investora</t>
  </si>
  <si>
    <t>;ztratné 5%; 0,2</t>
  </si>
  <si>
    <t>211</t>
  </si>
  <si>
    <t>771578011R00</t>
  </si>
  <si>
    <t>Spára podlaha - stěna, silikonem</t>
  </si>
  <si>
    <t>1,75+1,75-0,8+1+0,3</t>
  </si>
  <si>
    <t>1,75+1,75-0,8+1+1</t>
  </si>
  <si>
    <t>212</t>
  </si>
  <si>
    <t>998771101R00</t>
  </si>
  <si>
    <t>Přesun hmot pro podlahy z dlaždic, výšky do 6 m</t>
  </si>
  <si>
    <t>777</t>
  </si>
  <si>
    <t>Podlahy ze syntetických hmot</t>
  </si>
  <si>
    <t>213</t>
  </si>
  <si>
    <t>777812222R00</t>
  </si>
  <si>
    <t>Podlahový epoxid.systém - epoxidová stěrka</t>
  </si>
  <si>
    <t>777_</t>
  </si>
  <si>
    <t>13,8*2,86</t>
  </si>
  <si>
    <t>781</t>
  </si>
  <si>
    <t>Obklady (keramické)</t>
  </si>
  <si>
    <t>214</t>
  </si>
  <si>
    <t>781101210R00</t>
  </si>
  <si>
    <t>Penetrace podkladu pod obklady, vč. dodávky materiálu</t>
  </si>
  <si>
    <t>781_</t>
  </si>
  <si>
    <t>1.SO01_78_</t>
  </si>
  <si>
    <t>1,75*2,1</t>
  </si>
  <si>
    <t>SO01.03</t>
  </si>
  <si>
    <t>1,75*2,1-(0,8*2,1)</t>
  </si>
  <si>
    <t>1*2,1</t>
  </si>
  <si>
    <t>1*2,1-(0,8*2,1)</t>
  </si>
  <si>
    <t>SO01.04</t>
  </si>
  <si>
    <t>215</t>
  </si>
  <si>
    <t>781101142R00</t>
  </si>
  <si>
    <t>Hydroizolační stěrka dvouvrstvá pod obklady</t>
  </si>
  <si>
    <t>216</t>
  </si>
  <si>
    <t>23521590.A</t>
  </si>
  <si>
    <t>Stěrka hydroizolační 1-složková</t>
  </si>
  <si>
    <t>16,1</t>
  </si>
  <si>
    <t>;ztratné 5%; 0,805</t>
  </si>
  <si>
    <t>217</t>
  </si>
  <si>
    <t>781230121R00</t>
  </si>
  <si>
    <t>Obkládání stěn vnitř.keram. do tmele do 300x300 mm</t>
  </si>
  <si>
    <t>218</t>
  </si>
  <si>
    <t>597813753</t>
  </si>
  <si>
    <t>Obkládačka keramická 300x300 mm - bude upřesněna dle výběru investora</t>
  </si>
  <si>
    <t>16,38</t>
  </si>
  <si>
    <t>;ztratné 5%; 0,819</t>
  </si>
  <si>
    <t>219</t>
  </si>
  <si>
    <t>781479705R00</t>
  </si>
  <si>
    <t>Přípl.za spárovací hmotu-plošně,keram.vnitř.obklad</t>
  </si>
  <si>
    <t>220</t>
  </si>
  <si>
    <t>781497111R00</t>
  </si>
  <si>
    <t>Lišta hliníková ukončovacích k obkladům</t>
  </si>
  <si>
    <t>1,75+1,75-0,8</t>
  </si>
  <si>
    <t>1+1-0,8</t>
  </si>
  <si>
    <t>1+1</t>
  </si>
  <si>
    <t>221</t>
  </si>
  <si>
    <t>781111115R00</t>
  </si>
  <si>
    <t>Otvor v obkladačce diamant.korunkou prům.do 30 mm</t>
  </si>
  <si>
    <t>222</t>
  </si>
  <si>
    <t>781111116R00</t>
  </si>
  <si>
    <t>Otvor v obkladačce diamant.korunkou prům.do 90 mm</t>
  </si>
  <si>
    <t>223</t>
  </si>
  <si>
    <t>998781101R00</t>
  </si>
  <si>
    <t>Přesun hmot pro obklady keramické, výšky do 6 m</t>
  </si>
  <si>
    <t>783</t>
  </si>
  <si>
    <t>Nátěry</t>
  </si>
  <si>
    <t>224</t>
  </si>
  <si>
    <t>783851223R00</t>
  </si>
  <si>
    <t>Nátěr epoxidový betonových podlah, jednonásobná penetrace, dvojnásobný nátěr (2 x 0,2 kg/m2)</t>
  </si>
  <si>
    <t>783_</t>
  </si>
  <si>
    <t>153,67</t>
  </si>
  <si>
    <t>SO01.01 - sklad</t>
  </si>
  <si>
    <t>284,02</t>
  </si>
  <si>
    <t>SO01.02 - autodílna</t>
  </si>
  <si>
    <t>-(13,8*2,86)</t>
  </si>
  <si>
    <t>- prostor stěrky</t>
  </si>
  <si>
    <t>225</t>
  </si>
  <si>
    <t>783181121R00</t>
  </si>
  <si>
    <t>Metalizace zinkem tl. 80-100 mikrometrů - Nosné prvky autodílny</t>
  </si>
  <si>
    <t>Nosné prvky autodílny</t>
  </si>
  <si>
    <t>(7,4*2,01)*10</t>
  </si>
  <si>
    <t>01 HEA 450 -  2,01m2/m</t>
  </si>
  <si>
    <t>(8,1*1,83)*10</t>
  </si>
  <si>
    <t>02 HEA 360 - 1,83m2/m</t>
  </si>
  <si>
    <t>1*10</t>
  </si>
  <si>
    <t>03 P16/300/1650 - 1,0m2/1ks</t>
  </si>
  <si>
    <t>1,11*10</t>
  </si>
  <si>
    <t>04 P16/300/1850 - 1,11m2/1ks</t>
  </si>
  <si>
    <t>2,05*10</t>
  </si>
  <si>
    <t>05 P10/570/1800 - 2,05m2/1ks</t>
  </si>
  <si>
    <t>0,05*10</t>
  </si>
  <si>
    <t>06 P20/30/75 - 0,05m2/1ks</t>
  </si>
  <si>
    <t>0,25*10</t>
  </si>
  <si>
    <t>07 P15/300/420 - 0,25m2/1ks</t>
  </si>
  <si>
    <t>0,12*20</t>
  </si>
  <si>
    <t>08 P15/150/400 - 0,12m2/1ks</t>
  </si>
  <si>
    <t>09 P10/150/150 - 0,05m2/1ks</t>
  </si>
  <si>
    <t>(22,65*0,918)*12</t>
  </si>
  <si>
    <t>10 HEB 160 - 0,918 m2/m</t>
  </si>
  <si>
    <t>(10,2*0,922)*6</t>
  </si>
  <si>
    <t>11 IPE 240 - 0,922 m2/m</t>
  </si>
  <si>
    <t>(7,05*1,37)*6</t>
  </si>
  <si>
    <t>12 HEA 240 - 1,37m2/m</t>
  </si>
  <si>
    <t>(8,35*1,37)*6</t>
  </si>
  <si>
    <t>13 HEA 240 - 1,37m2/m</t>
  </si>
  <si>
    <t>(9,65*1,37)*3</t>
  </si>
  <si>
    <t>14 HEA 240 - 1,37m2/m</t>
  </si>
  <si>
    <t>0,13*15</t>
  </si>
  <si>
    <t>15 P20/250/250 - 0,13m2/1ks</t>
  </si>
  <si>
    <t>16 RO89X5.6 - předpoklad 1 m2 celk.</t>
  </si>
  <si>
    <t>195*0,44</t>
  </si>
  <si>
    <t>17 RHS140/80/6,3 - 0,44m2/m</t>
  </si>
  <si>
    <t>0,4*10</t>
  </si>
  <si>
    <t>18 P30/500/400 - 0,4m2/1ks</t>
  </si>
  <si>
    <t>0,32*15</t>
  </si>
  <si>
    <t>19 P30/400/400 - 0,32m2/1ks</t>
  </si>
  <si>
    <t>0,09*20</t>
  </si>
  <si>
    <t>20 P10/145/315 - 0,09m2/1ks</t>
  </si>
  <si>
    <t>0,29*10</t>
  </si>
  <si>
    <t>21 P25/300/490 - 0,29m2/1ks</t>
  </si>
  <si>
    <t>226</t>
  </si>
  <si>
    <t>Metalizace zinkem tl. 80-100 mikrometrů - Zámečnické výrobky</t>
  </si>
  <si>
    <t>Z03 ocelová nosná podkonstrukce vrat 4x</t>
  </si>
  <si>
    <t>(5,19*0,426*2)*4</t>
  </si>
  <si>
    <t>jakl 140/80/4 1m2/m - 0,426</t>
  </si>
  <si>
    <t>0,3*4</t>
  </si>
  <si>
    <t>oc. plotna 140/150/10</t>
  </si>
  <si>
    <t>Z04 ocelová nosná podkonstrukce vnitřních /vnějších  dveří</t>
  </si>
  <si>
    <t>(3,2*0,426*2)*2</t>
  </si>
  <si>
    <t>(2,465*0,426*2)*2</t>
  </si>
  <si>
    <t>(1,67*0,426)*2</t>
  </si>
  <si>
    <t>0,3*8</t>
  </si>
  <si>
    <t>Z06 ocelová podpěrná konstrukce pro elektrickou teplovzdušnou jednotku</t>
  </si>
  <si>
    <t>(0,6*0,306*2)*5</t>
  </si>
  <si>
    <t>jakl 80/80/4 1m2/m - 0,306</t>
  </si>
  <si>
    <t>Z07 Pomocný jakl + L profil pro uchycení střešního světlíku</t>
  </si>
  <si>
    <t>(2*0,306)*12</t>
  </si>
  <si>
    <t>(2*0,32)*12</t>
  </si>
  <si>
    <t>L 80/80/5 1m2/m - 0,32</t>
  </si>
  <si>
    <t>Z08 pomocný jakl pro uchycení průmyslových vrat</t>
  </si>
  <si>
    <t>(4,7*0,306)*9</t>
  </si>
  <si>
    <t>80/80/4 1m2/m - 0,306</t>
  </si>
  <si>
    <t>Z09 Pomocný L profil v místě napojení soklu / napojení stěny</t>
  </si>
  <si>
    <t>(6*0,32)*10</t>
  </si>
  <si>
    <t>L 80/80/8 - 1m2/m - 0,32</t>
  </si>
  <si>
    <t>3,5</t>
  </si>
  <si>
    <t>Z10 - Pevný kovový žebřík pro výstup na střechu</t>
  </si>
  <si>
    <t>Z11 - ocelové pracny u prahu pod průmyslovými vraty</t>
  </si>
  <si>
    <t>(0,35*0,63)*48</t>
  </si>
  <si>
    <t>1m2/m - 0,63</t>
  </si>
  <si>
    <t>Z12 Pomocný L profil</t>
  </si>
  <si>
    <t>(6*0,22)*8</t>
  </si>
  <si>
    <t>1m2/m - 0,22</t>
  </si>
  <si>
    <t>0,5</t>
  </si>
  <si>
    <t>Z14 Uchycení odsávacího hadicového navijáku</t>
  </si>
  <si>
    <t>Z15 Nerovnoramenný L profil - horní část energokanálu</t>
  </si>
  <si>
    <t>(6*0,14)*7</t>
  </si>
  <si>
    <t>20/50/2 - 1m2/m - 0,14</t>
  </si>
  <si>
    <t>Z17 Pomocný jakl pro uchycení průmyslových vrat</t>
  </si>
  <si>
    <t>(4,5*0,306)*4</t>
  </si>
  <si>
    <t>784</t>
  </si>
  <si>
    <t>Malby</t>
  </si>
  <si>
    <t>227</t>
  </si>
  <si>
    <t>784011111R00</t>
  </si>
  <si>
    <t>Oprášení/ometení podkladu</t>
  </si>
  <si>
    <t>784_</t>
  </si>
  <si>
    <t>22,6*19,6</t>
  </si>
  <si>
    <t>podlaha</t>
  </si>
  <si>
    <t>228</t>
  </si>
  <si>
    <t>784011222RT2</t>
  </si>
  <si>
    <t>Zakrytí podlah, včetně odstranění, včetně papírové lepenky</t>
  </si>
  <si>
    <t>20*3,5</t>
  </si>
  <si>
    <t>v blízkosti natíraných stěn</t>
  </si>
  <si>
    <t>229</t>
  </si>
  <si>
    <t>784161101R00</t>
  </si>
  <si>
    <t>Penetrace podkladu 1x</t>
  </si>
  <si>
    <t>230</t>
  </si>
  <si>
    <t>784165512R00</t>
  </si>
  <si>
    <t>Univerzální sněhově bílá matná disperzní barva, bez penetrace, 2 x</t>
  </si>
  <si>
    <t>231</t>
  </si>
  <si>
    <t>784442021RT2</t>
  </si>
  <si>
    <t>Malba disperzní interiér,výška do 3,8m - pro SDK strop</t>
  </si>
  <si>
    <t>Hodinové zúčtovací sazby (HZS)</t>
  </si>
  <si>
    <t>232</t>
  </si>
  <si>
    <t>900      R01</t>
  </si>
  <si>
    <t>HZS stavební dělník v tarifní třídě 4 - Dolamování + čištění výkopu, podbetonování spár u zákl. stáv. opl.</t>
  </si>
  <si>
    <t>h</t>
  </si>
  <si>
    <t>90_</t>
  </si>
  <si>
    <t>Lešení a stavební výtahy</t>
  </si>
  <si>
    <t>233</t>
  </si>
  <si>
    <t>941955004R00</t>
  </si>
  <si>
    <t>Lešení lehké pomocné, výška podlahy do 3,5 m</t>
  </si>
  <si>
    <t>94_</t>
  </si>
  <si>
    <t>SO01.01</t>
  </si>
  <si>
    <t>SO01.02</t>
  </si>
  <si>
    <t>234</t>
  </si>
  <si>
    <t>946941102RT4</t>
  </si>
  <si>
    <t>Montáž pojízdných Alu věží BOSS, 2,5 x 1,45 m, pracovní výška 10,2 m</t>
  </si>
  <si>
    <t>sada</t>
  </si>
  <si>
    <t>235</t>
  </si>
  <si>
    <t>946941802RT4</t>
  </si>
  <si>
    <t>Demontáž pojízdných Alu věží BOSS, 2,5 x 1,45 m</t>
  </si>
  <si>
    <t>236</t>
  </si>
  <si>
    <t>946941196RT4</t>
  </si>
  <si>
    <t>Nájemné pojízdných Alu věží BOSS, 2,5 x 0,85 m, pracovní výška 10,2 m</t>
  </si>
  <si>
    <t>den</t>
  </si>
  <si>
    <t>60 dní</t>
  </si>
  <si>
    <t>Různé dokončovací konstrukce a práce na pozemních stavbách</t>
  </si>
  <si>
    <t>237</t>
  </si>
  <si>
    <t>952901221R00</t>
  </si>
  <si>
    <t>Vyčištění průmyslových budov a objektů výrobních</t>
  </si>
  <si>
    <t>95_</t>
  </si>
  <si>
    <t>238</t>
  </si>
  <si>
    <t>953981105R00</t>
  </si>
  <si>
    <t>Chemické kotvy do betonu, hl. 170 mm, M 20, ampule - stropní deska lapolu</t>
  </si>
  <si>
    <t>H01</t>
  </si>
  <si>
    <t>Budovy občanské výstavby</t>
  </si>
  <si>
    <t>239</t>
  </si>
  <si>
    <t>998014011R00</t>
  </si>
  <si>
    <t>Přesun hmot, budovy mont. jednopodl. s pláštěm</t>
  </si>
  <si>
    <t>H01_</t>
  </si>
  <si>
    <t>Venkovní úpravy</t>
  </si>
  <si>
    <t>2. VÚ</t>
  </si>
  <si>
    <t>240</t>
  </si>
  <si>
    <t>2. VÚ_9_</t>
  </si>
  <si>
    <t>2. VÚ_</t>
  </si>
  <si>
    <t>45,369+27,22</t>
  </si>
  <si>
    <t>241</t>
  </si>
  <si>
    <t>979990113R00</t>
  </si>
  <si>
    <t>Poplatek za skládku suti - obalovaný asfalt,popřípadě podrcení asfalt.směsi</t>
  </si>
  <si>
    <t>RTS II / 2020</t>
  </si>
  <si>
    <t>11,44</t>
  </si>
  <si>
    <t>242</t>
  </si>
  <si>
    <t>113151119R00</t>
  </si>
  <si>
    <t>Fréz.živič.krytu pl.do 500 m2,pruh do 75cm,tl.10cm</t>
  </si>
  <si>
    <t>2. VÚ_1_</t>
  </si>
  <si>
    <t>52,02</t>
  </si>
  <si>
    <t>před halou</t>
  </si>
  <si>
    <t>za halou - štěrk</t>
  </si>
  <si>
    <t>243</t>
  </si>
  <si>
    <t>113107425R00</t>
  </si>
  <si>
    <t>Odstranění podkladu nad 50 m2,kam.těžené tl.25 cm</t>
  </si>
  <si>
    <t>30,47</t>
  </si>
  <si>
    <t>za halou</t>
  </si>
  <si>
    <t>244</t>
  </si>
  <si>
    <t>113107515R00</t>
  </si>
  <si>
    <t>Odstranění podkladu pl. 50 m2,kam.drcené tl.15 cm</t>
  </si>
  <si>
    <t>RTS I / 2023</t>
  </si>
  <si>
    <t>82,49</t>
  </si>
  <si>
    <t>245</t>
  </si>
  <si>
    <t>115101201R00</t>
  </si>
  <si>
    <t>Čerpání vody na výšku do 10 m, přítok do 500 l/min - fakturováno pouze v případě použití</t>
  </si>
  <si>
    <t>246</t>
  </si>
  <si>
    <t>2. VÚ_2_</t>
  </si>
  <si>
    <t>247</t>
  </si>
  <si>
    <t>564251111R00</t>
  </si>
  <si>
    <t>Podklad ze štěrkopísku (frakce 0/32) po zhutnění tloušťky 15 cm</t>
  </si>
  <si>
    <t>2. VÚ_5_</t>
  </si>
  <si>
    <t>248</t>
  </si>
  <si>
    <t>565171111R00</t>
  </si>
  <si>
    <t>Podklad z obal kamen. ACP 22+, š. do 3 m, tl.10 cm</t>
  </si>
  <si>
    <t>50,17</t>
  </si>
  <si>
    <t>21,72</t>
  </si>
  <si>
    <t>249</t>
  </si>
  <si>
    <t>565131111R00x</t>
  </si>
  <si>
    <t>Podklad ze štěrku částečně zpevněného cementovou maltou ŠCM tl 200 mm</t>
  </si>
  <si>
    <t>250</t>
  </si>
  <si>
    <t>251</t>
  </si>
  <si>
    <t>;ztratné 5%; 4,1245</t>
  </si>
  <si>
    <t>Kryty pozemních komunikací, letišť a ploch z kameniva nebo živičné</t>
  </si>
  <si>
    <t>252</t>
  </si>
  <si>
    <t>573231121R00x</t>
  </si>
  <si>
    <t>Postřik živičný spojovací z asfaltu v množství 0,40 kg/m2</t>
  </si>
  <si>
    <t>57_</t>
  </si>
  <si>
    <t>253</t>
  </si>
  <si>
    <t>573231121R01x</t>
  </si>
  <si>
    <t>Postřik živičný spojovací z asfaltu v množství 0,50 kg/m2</t>
  </si>
  <si>
    <t>254</t>
  </si>
  <si>
    <t>577151113R00</t>
  </si>
  <si>
    <t>Beton asfalt. ACO 16+ obrusný, š. do 3 m, tl. 6 cm</t>
  </si>
  <si>
    <t>Doplňující konstrukce a práce na pozemních komunikacích a zpevněných plochách</t>
  </si>
  <si>
    <t>255</t>
  </si>
  <si>
    <t>919735112R00</t>
  </si>
  <si>
    <t>Řezání stávajícího živičného krytu tl. 5 - 10 cm</t>
  </si>
  <si>
    <t>91_</t>
  </si>
  <si>
    <t>0,8+4+12,5+1,2+1,5+2</t>
  </si>
  <si>
    <t>256</t>
  </si>
  <si>
    <t>916661111RT5</t>
  </si>
  <si>
    <t>Osazení park. obrubníků do lože z C 12/15 s opěrou, včetně obrubníku 80x250x1000 mm</t>
  </si>
  <si>
    <t>257</t>
  </si>
  <si>
    <t>917932121RT2</t>
  </si>
  <si>
    <t>Osazení betonové prefa přídlažby do lože z C16/20, včetně dodávky silniční přídlažby</t>
  </si>
  <si>
    <t>23+18</t>
  </si>
  <si>
    <t>258</t>
  </si>
  <si>
    <t>Přesun hmot, pozemní komunikace, kryt živičný</t>
  </si>
  <si>
    <t>84,033</t>
  </si>
  <si>
    <t>259</t>
  </si>
  <si>
    <t>998225195R00</t>
  </si>
  <si>
    <t>Přesun hmot, komunik. živičné, přípl. dalších 5 km</t>
  </si>
  <si>
    <t>84,033*2</t>
  </si>
  <si>
    <t>předpoklad 10 km</t>
  </si>
  <si>
    <t>Zdravotně-technické instalace</t>
  </si>
  <si>
    <t>Odsávání výfukových plynů</t>
  </si>
  <si>
    <t>3.ZTI</t>
  </si>
  <si>
    <t>260</t>
  </si>
  <si>
    <t>726212321R00</t>
  </si>
  <si>
    <t>Modul-PRO WC SYSTEM, pro závěsné WC</t>
  </si>
  <si>
    <t>4_</t>
  </si>
  <si>
    <t>3.ZTI_4_</t>
  </si>
  <si>
    <t>3.ZTI_</t>
  </si>
  <si>
    <t>261</t>
  </si>
  <si>
    <t>998726121R00</t>
  </si>
  <si>
    <t>Přesun hmot pro předstěnové systémy, výšky do 6 m</t>
  </si>
  <si>
    <t>262</t>
  </si>
  <si>
    <t>132201211R00</t>
  </si>
  <si>
    <t>Hloubení rýh š.do 200 cm hor.3 do 100 m3,STROJNĚ</t>
  </si>
  <si>
    <t>3.ZTI_1_</t>
  </si>
  <si>
    <t>(11+18,9+17+8,6)*0,8</t>
  </si>
  <si>
    <t>celkový výkop (VODOVOD + DEŠŤOVÁ KANALIZACE</t>
  </si>
  <si>
    <t>-10</t>
  </si>
  <si>
    <t>Opatrně kolem potrubí - ručně</t>
  </si>
  <si>
    <t>263</t>
  </si>
  <si>
    <t>130001101R00</t>
  </si>
  <si>
    <t>Příplatek za ztížené hloubení v blízkosti vedení</t>
  </si>
  <si>
    <t>8,5</t>
  </si>
  <si>
    <t>DEŠŤOVÁ KANALIZACE - AREÁLOVÝ VODOVOD</t>
  </si>
  <si>
    <t>1,5</t>
  </si>
  <si>
    <t>VNITŘNÍ KANALIZACE</t>
  </si>
  <si>
    <t>264</t>
  </si>
  <si>
    <t>Příplatek za lepivost - hloubení rýh 200cm v hor.3</t>
  </si>
  <si>
    <t>265</t>
  </si>
  <si>
    <t>162201102R00</t>
  </si>
  <si>
    <t>Vodorovné přemístění výkopku z hor.1-4 do 50 m</t>
  </si>
  <si>
    <t>34+10</t>
  </si>
  <si>
    <t>266</t>
  </si>
  <si>
    <t>161101101R00</t>
  </si>
  <si>
    <t>Svislé přemístění výkopku z hor.1-4 do 2,5 m</t>
  </si>
  <si>
    <t>267</t>
  </si>
  <si>
    <t>175101101RT2</t>
  </si>
  <si>
    <t>Obsyp potrubí bez prohození sypaniny</t>
  </si>
  <si>
    <t>(5,2+6,5+13,6+11,9+6)*0,8</t>
  </si>
  <si>
    <t>OBSYP CELKEM</t>
  </si>
  <si>
    <t>268</t>
  </si>
  <si>
    <t>174100050RA0</t>
  </si>
  <si>
    <t>Zásyp jam,rýh a šachet štěrkopískem</t>
  </si>
  <si>
    <t>(60+65)*0,3</t>
  </si>
  <si>
    <t>EXTERIÉR</t>
  </si>
  <si>
    <t>0,7</t>
  </si>
  <si>
    <t>SPLAŠKOVÁ</t>
  </si>
  <si>
    <t>269</t>
  </si>
  <si>
    <t>58330002.A</t>
  </si>
  <si>
    <t>Štěrkopísek k zásypu</t>
  </si>
  <si>
    <t>38,2*1,8</t>
  </si>
  <si>
    <t>001VD</t>
  </si>
  <si>
    <t>Ostatní</t>
  </si>
  <si>
    <t>270</t>
  </si>
  <si>
    <t>900      R00.1</t>
  </si>
  <si>
    <t>Nepředvídané práce</t>
  </si>
  <si>
    <t>RTS I / 2021</t>
  </si>
  <si>
    <t>001VD_</t>
  </si>
  <si>
    <t>3.ZTI_0_</t>
  </si>
  <si>
    <t>Roubení</t>
  </si>
  <si>
    <t>271</t>
  </si>
  <si>
    <t>151101101R00</t>
  </si>
  <si>
    <t>Pažení a rozepření stěn rýh - příložné - hl. do 2m</t>
  </si>
  <si>
    <t>15_</t>
  </si>
  <si>
    <t>(13+9)*2*1,35</t>
  </si>
  <si>
    <t>Vodovod</t>
  </si>
  <si>
    <t>(27,55+24,8+12,7)*2</t>
  </si>
  <si>
    <t>Kanalizace dešťová</t>
  </si>
  <si>
    <t>272</t>
  </si>
  <si>
    <t>151101111R00</t>
  </si>
  <si>
    <t>Odstranění paženi stěn rýh - příložné - hl. do 2 m</t>
  </si>
  <si>
    <t>189,5</t>
  </si>
  <si>
    <t>273</t>
  </si>
  <si>
    <t>721176102R00</t>
  </si>
  <si>
    <t>Potrubí HT připojovací D 40 x 1,8 mm</t>
  </si>
  <si>
    <t>3.ZTI_72_</t>
  </si>
  <si>
    <t>(0,8)*1,1</t>
  </si>
  <si>
    <t>+ 10% PROŘEZ</t>
  </si>
  <si>
    <t>274</t>
  </si>
  <si>
    <t>721176105R00</t>
  </si>
  <si>
    <t>Potrubí HT připojovací D 110 x 2,7 mm</t>
  </si>
  <si>
    <t>275</t>
  </si>
  <si>
    <t>721176115R00</t>
  </si>
  <si>
    <t>Potrubí HT odpadní svislé D 110 x 2,7 mm</t>
  </si>
  <si>
    <t>(1)*1,1</t>
  </si>
  <si>
    <t xml:space="preserve"> + 10% PROŘEZ (SPLAŠKA)</t>
  </si>
  <si>
    <t>276</t>
  </si>
  <si>
    <t>721194104R00</t>
  </si>
  <si>
    <t>Vyvedení odpadních výpustek D 40 x 1,8</t>
  </si>
  <si>
    <t>277</t>
  </si>
  <si>
    <t>721273150RT1</t>
  </si>
  <si>
    <t>Hlavice ventilační přivětrávací HL900</t>
  </si>
  <si>
    <t>278</t>
  </si>
  <si>
    <t>721176222R00</t>
  </si>
  <si>
    <t>Potrubí KG svodné (ležaté) v zemi, D 110 x 3,2 mm</t>
  </si>
  <si>
    <t>(17,5+16+8,5)*1,1</t>
  </si>
  <si>
    <t xml:space="preserve"> + 10% PROŘEZ (DEŠŤ)</t>
  </si>
  <si>
    <t>(3)*1,1</t>
  </si>
  <si>
    <t>279</t>
  </si>
  <si>
    <t>721290111R00</t>
  </si>
  <si>
    <t>Zkouška těsnosti kanalizace vodou do DN 125 - SVODNÉ</t>
  </si>
  <si>
    <t>(3,3+46,2)/1,1</t>
  </si>
  <si>
    <t>280</t>
  </si>
  <si>
    <t>877363121R00</t>
  </si>
  <si>
    <t>Montáž tvarovek odboč. plast. gum. kroužek DN 250</t>
  </si>
  <si>
    <t>281</t>
  </si>
  <si>
    <t>899721111R00</t>
  </si>
  <si>
    <t>Fólie výstražná z PVC, šířka 22 cm</t>
  </si>
  <si>
    <t>16,9+15,5+7,8</t>
  </si>
  <si>
    <t>DEŠŤOVÁ KANALIZACE</t>
  </si>
  <si>
    <t>282</t>
  </si>
  <si>
    <t>28651796.A</t>
  </si>
  <si>
    <t>Odbočka kanalizační nalepovací KGAB 250/160 PVC</t>
  </si>
  <si>
    <t>283</t>
  </si>
  <si>
    <t>998721101R00</t>
  </si>
  <si>
    <t>Přesun hmot pro vnitřní kanalizaci, výšky do 6 m</t>
  </si>
  <si>
    <t>0,1</t>
  </si>
  <si>
    <t>722</t>
  </si>
  <si>
    <t>Vnitřní vodovod</t>
  </si>
  <si>
    <t>284</t>
  </si>
  <si>
    <t>722172412R00</t>
  </si>
  <si>
    <t>Potrubí plastové PP-R Ekoplastik, včetně zednických výpomocí, D 25 x 3,5 mm, PN 16</t>
  </si>
  <si>
    <t>722_</t>
  </si>
  <si>
    <t>1,2*1,1</t>
  </si>
  <si>
    <t>285</t>
  </si>
  <si>
    <t>722172411R00</t>
  </si>
  <si>
    <t>Potrubí plastové PP-R Ekoplastik, včetně zednických výpomocí, D 20 x 2,8 mm, PN 16</t>
  </si>
  <si>
    <t>1,3*1,1</t>
  </si>
  <si>
    <t>286</t>
  </si>
  <si>
    <t>722172612R00</t>
  </si>
  <si>
    <t>Potrubí plastové PP-R Instaplast, bez zednických výpomocí, D 25 x 3,5 mm, PN 16</t>
  </si>
  <si>
    <t>36,9*1,1</t>
  </si>
  <si>
    <t>287</t>
  </si>
  <si>
    <t>722172633R00</t>
  </si>
  <si>
    <t>Potrubí plastové PP-R Instaplast, bez zednických výpomocí, D 32 x 5,4 mm, PN 20</t>
  </si>
  <si>
    <t>1,8*1,1</t>
  </si>
  <si>
    <t>288</t>
  </si>
  <si>
    <t>722181214RT7</t>
  </si>
  <si>
    <t>Izolace návleková MIRELON PRO tl. stěny 20 mm, vnitřní průměr 22 mm</t>
  </si>
  <si>
    <t>289</t>
  </si>
  <si>
    <t>722280106R00</t>
  </si>
  <si>
    <t>Tlaková zkouška vodovodního potrubí do DN 32</t>
  </si>
  <si>
    <t>(1,32+1,43+40,59+1,98)/1,1</t>
  </si>
  <si>
    <t>290</t>
  </si>
  <si>
    <t>722181214RT8</t>
  </si>
  <si>
    <t>Izolace návleková MIRELON PRO tl. stěny 20 mm, vnitřní průměr 25 mm</t>
  </si>
  <si>
    <t>291</t>
  </si>
  <si>
    <t>722181214RU1</t>
  </si>
  <si>
    <t>Izolace návleková MIRELON PRO tl. stěny 20 mm, vnitřní průměr 32 mm</t>
  </si>
  <si>
    <t>292</t>
  </si>
  <si>
    <t>722130233R00</t>
  </si>
  <si>
    <t>Potrubí z trubek závitových pozinkovaných svařovaných 11 343, DN 25 mm</t>
  </si>
  <si>
    <t>2*1,1</t>
  </si>
  <si>
    <t>požární + 10% prořez</t>
  </si>
  <si>
    <t>293</t>
  </si>
  <si>
    <t>00104VD</t>
  </si>
  <si>
    <t>Rozbor pitné vody</t>
  </si>
  <si>
    <t>294</t>
  </si>
  <si>
    <t>Konstrukce pro uchycení rozvodů potrubí - objímky + vrutošrouby</t>
  </si>
  <si>
    <t>295</t>
  </si>
  <si>
    <t>998722101R00</t>
  </si>
  <si>
    <t>Přesun hmot pro vnitřní vodovod, výšky do 6 m</t>
  </si>
  <si>
    <t>0,065</t>
  </si>
  <si>
    <t>725</t>
  </si>
  <si>
    <t>Zařizovací předměty</t>
  </si>
  <si>
    <t>296</t>
  </si>
  <si>
    <t>728311111R00</t>
  </si>
  <si>
    <t>Montáž ohřívače čtyřhranného do 0,15 m2</t>
  </si>
  <si>
    <t>725_</t>
  </si>
  <si>
    <t>297</t>
  </si>
  <si>
    <t>725219401R00</t>
  </si>
  <si>
    <t>Montáž umyvadel na šrouby do zdiva</t>
  </si>
  <si>
    <t>298</t>
  </si>
  <si>
    <t>725017134R00</t>
  </si>
  <si>
    <t>Umyvadlo 60x45 cm otvor pro baterii uprostřed, Umyvadlová baterie S-Line Pro bez výpusti chrom</t>
  </si>
  <si>
    <t>299</t>
  </si>
  <si>
    <t>725860202R00</t>
  </si>
  <si>
    <t>Sifon dřezový HL100G, D 40/50 mm, 6/4"</t>
  </si>
  <si>
    <t>300</t>
  </si>
  <si>
    <t>725823121RT1</t>
  </si>
  <si>
    <t>Baterie umyvadlová stojánková  ruční, včetně otvírání odpadu</t>
  </si>
  <si>
    <t>301</t>
  </si>
  <si>
    <t>725860251R00</t>
  </si>
  <si>
    <t>Sifon umyvadlový chromovaný Raf SV1410</t>
  </si>
  <si>
    <t>302</t>
  </si>
  <si>
    <t>725014121RT1</t>
  </si>
  <si>
    <t>Klozet závěsný  hlub. splach., bílý,včetně sedátka v bílé barvě</t>
  </si>
  <si>
    <t>RTS II / 2016</t>
  </si>
  <si>
    <t>WCz</t>
  </si>
  <si>
    <t>303</t>
  </si>
  <si>
    <t>722191134R00</t>
  </si>
  <si>
    <t>Hadice sanitární flexibilní, DN 15 mm, délka 600 mm</t>
  </si>
  <si>
    <t>304</t>
  </si>
  <si>
    <t>54132281</t>
  </si>
  <si>
    <t>Ohřívač vody elektrický zásobníkový beztlakový 1,5kW</t>
  </si>
  <si>
    <t>305</t>
  </si>
  <si>
    <t>998725101R00</t>
  </si>
  <si>
    <t>Přesun hmot pro zařizovací předměty, výšky do 6 m</t>
  </si>
  <si>
    <t>0,045</t>
  </si>
  <si>
    <t>734</t>
  </si>
  <si>
    <t>Armatury</t>
  </si>
  <si>
    <t>306</t>
  </si>
  <si>
    <t>722171914R00</t>
  </si>
  <si>
    <t>Odříznutí plastové trubky D 32 mm</t>
  </si>
  <si>
    <t>734_</t>
  </si>
  <si>
    <t>3.ZTI_73_</t>
  </si>
  <si>
    <t>307</t>
  </si>
  <si>
    <t>722173984R00</t>
  </si>
  <si>
    <t>Provedení spoje plastového vodovodního potrubí, elektrotvarovkami, D 32 mm</t>
  </si>
  <si>
    <t>308</t>
  </si>
  <si>
    <t>722171920R00</t>
  </si>
  <si>
    <t>Odříznutí plastové trubky D 110 mm</t>
  </si>
  <si>
    <t>309</t>
  </si>
  <si>
    <t>722175120R00</t>
  </si>
  <si>
    <t>Montáž plastových vodovodních tvarovek, polyfuzně svařovaných, jeden spoj, D 110 mm</t>
  </si>
  <si>
    <t>310</t>
  </si>
  <si>
    <t>722229103R00</t>
  </si>
  <si>
    <t>Montáž vodovodních armatur,1závit, G 1</t>
  </si>
  <si>
    <t>1+2</t>
  </si>
  <si>
    <t>311</t>
  </si>
  <si>
    <t>722229102R00</t>
  </si>
  <si>
    <t>Montáž vodovodních armatur,1závit, G 3/4</t>
  </si>
  <si>
    <t>312</t>
  </si>
  <si>
    <t>722229101R00</t>
  </si>
  <si>
    <t>Montáž vodovodních armatur,1závit, G 1/2</t>
  </si>
  <si>
    <t>313</t>
  </si>
  <si>
    <t>725814121R00</t>
  </si>
  <si>
    <t>ARCO kombinovaný rohový ventil A-80 se dvěma vývody 1/2"x1/2"x1/2"</t>
  </si>
  <si>
    <t>314</t>
  </si>
  <si>
    <t>734234143R00</t>
  </si>
  <si>
    <t>Kohout kulový s vypouš.vnitř.-vnitř.z., DN 15</t>
  </si>
  <si>
    <t>RTS I / 2022</t>
  </si>
  <si>
    <t>za vodoměrem</t>
  </si>
  <si>
    <t>315</t>
  </si>
  <si>
    <t>734243123R00vb</t>
  </si>
  <si>
    <t>Zpětná klapka. EA typ. Revidovatelná, DN 25</t>
  </si>
  <si>
    <t>316</t>
  </si>
  <si>
    <t>722269111R00</t>
  </si>
  <si>
    <t>Montáž vodoměru závitového jdnovt. suchob. G1/2"</t>
  </si>
  <si>
    <t>317</t>
  </si>
  <si>
    <t>722264325R00</t>
  </si>
  <si>
    <t>Vodoměr bytový TV Enbra ET DN 15 x 80 mm, Qn 2,5</t>
  </si>
  <si>
    <t>318</t>
  </si>
  <si>
    <t>722259995R00</t>
  </si>
  <si>
    <t>Vystavení revizní zprávy - nástěnný požární hydrant</t>
  </si>
  <si>
    <t>319</t>
  </si>
  <si>
    <t>722259991R00</t>
  </si>
  <si>
    <t>Tlaková zkouška nástěnného požárního hydrantu</t>
  </si>
  <si>
    <t>320</t>
  </si>
  <si>
    <t>722259994R00</t>
  </si>
  <si>
    <t>Revize nástěnného požárního hydrantu</t>
  </si>
  <si>
    <t>321</t>
  </si>
  <si>
    <t>722254201RT4</t>
  </si>
  <si>
    <t>Hydrantový systém, box s plnými dveřmi - Z13</t>
  </si>
  <si>
    <t>322</t>
  </si>
  <si>
    <t>28653070.A</t>
  </si>
  <si>
    <t>Přechodka PE-měď ISIFLO T-110, D 32 x 1", vnější závit</t>
  </si>
  <si>
    <t>323</t>
  </si>
  <si>
    <t>28613102.M</t>
  </si>
  <si>
    <t>Elektrospojka d  32 mm SDR 11 PE 100 ELGEF Plus</t>
  </si>
  <si>
    <t>324</t>
  </si>
  <si>
    <t>28613127.M</t>
  </si>
  <si>
    <t>Elektro T-kus KIT d 110mm rovnoramenný PE100 SDR11</t>
  </si>
  <si>
    <t>325</t>
  </si>
  <si>
    <t>28653176.A</t>
  </si>
  <si>
    <t>Objímka navrtáv. elektrosvař.ELGEF Plus d110/32 mm</t>
  </si>
  <si>
    <t>326</t>
  </si>
  <si>
    <t>28613107.M</t>
  </si>
  <si>
    <t>Elektrospojka d 110 mm SDR 11 PE 100 ELGEF Plus</t>
  </si>
  <si>
    <t>327</t>
  </si>
  <si>
    <t>28655379</t>
  </si>
  <si>
    <t>Přechod PE - kov vnější závit 32 x 1"</t>
  </si>
  <si>
    <t>na požární</t>
  </si>
  <si>
    <t>328</t>
  </si>
  <si>
    <t>5513805112</t>
  </si>
  <si>
    <t>Kohout kulový pro pitnou vodu - zelená páka, DN 25</t>
  </si>
  <si>
    <t>329</t>
  </si>
  <si>
    <t>261981165x</t>
  </si>
  <si>
    <t>Kotvící prvky pro vedení instalací</t>
  </si>
  <si>
    <t>330</t>
  </si>
  <si>
    <t>Potrubí z trub plastických, skleněných a čedičových</t>
  </si>
  <si>
    <t>331</t>
  </si>
  <si>
    <t>871812112R00</t>
  </si>
  <si>
    <t>Příplatek za položení signalizačního vodiče</t>
  </si>
  <si>
    <t>87_</t>
  </si>
  <si>
    <t>3.ZTI_8_</t>
  </si>
  <si>
    <t>42,5</t>
  </si>
  <si>
    <t>332</t>
  </si>
  <si>
    <t>871812111R00</t>
  </si>
  <si>
    <t>Příplatek za zaměření GPS během pokládky</t>
  </si>
  <si>
    <t>333</t>
  </si>
  <si>
    <t>892271111R00</t>
  </si>
  <si>
    <t>Tlaková zkouška vodovodního potrubí DN 125</t>
  </si>
  <si>
    <t>334</t>
  </si>
  <si>
    <t>722171213R00</t>
  </si>
  <si>
    <t>Potrubí plastové PE-HD vodovodní, D 32 x 3,0 mm</t>
  </si>
  <si>
    <t>335</t>
  </si>
  <si>
    <t>VODOVOD</t>
  </si>
  <si>
    <t>336</t>
  </si>
  <si>
    <t>722174220R00</t>
  </si>
  <si>
    <t>Montáž plastového vodovodního potrubí, rovného, polyfuzně svařeného, D 110 mm</t>
  </si>
  <si>
    <t>42,5*1,1</t>
  </si>
  <si>
    <t>337</t>
  </si>
  <si>
    <t>286134607</t>
  </si>
  <si>
    <t>Trubka vodovodní PE RC Protect SDR 11 110x10,0 mm</t>
  </si>
  <si>
    <t>338</t>
  </si>
  <si>
    <t>28611157.A</t>
  </si>
  <si>
    <t>Trubka kanalizační KGEM SN 4 PVC 200x4,9x2000 mm</t>
  </si>
  <si>
    <t>Ústřední vytápění</t>
  </si>
  <si>
    <t>Vytápění místnosti</t>
  </si>
  <si>
    <t>4. ÚT</t>
  </si>
  <si>
    <t>339</t>
  </si>
  <si>
    <t>2.1.01</t>
  </si>
  <si>
    <t>Teplovzdušná vytápěcí jednotka - el. Q=7,5 kW vč. příslušenství (ovládání, závěsy......)  např. E-7-400V-4</t>
  </si>
  <si>
    <t>2_</t>
  </si>
  <si>
    <t>4. ÚT_2_</t>
  </si>
  <si>
    <t>4. ÚT_</t>
  </si>
  <si>
    <t>340</t>
  </si>
  <si>
    <t>2.1.02</t>
  </si>
  <si>
    <t>Teplovzdušná vytápěcí jednotka - el. Q=9,0 kW vč. příslušenství (ovládání, závěsy......)  např. E-9-400V-4</t>
  </si>
  <si>
    <t>341</t>
  </si>
  <si>
    <t>2.M1</t>
  </si>
  <si>
    <t>Montáž vytápění v jednotlivých místnostech</t>
  </si>
  <si>
    <t>Nh</t>
  </si>
  <si>
    <t>342</t>
  </si>
  <si>
    <t>2.M2</t>
  </si>
  <si>
    <t>Spojovací, těsnící a montážní materiál</t>
  </si>
  <si>
    <t>Vzduchotechnika</t>
  </si>
  <si>
    <t>Větrání dílny</t>
  </si>
  <si>
    <t>5. VZT</t>
  </si>
  <si>
    <t>343</t>
  </si>
  <si>
    <t>1.1.01</t>
  </si>
  <si>
    <t>Lokální rek. jednotka vč. přísl., rozměr: 3393x1300 mm, průměr potrubí 870 mm, kapacita: 1400 - 3000 m3/h, výkon: max. 2x750 W, (např. Turbovex)</t>
  </si>
  <si>
    <t>1_</t>
  </si>
  <si>
    <t>5. VZT_1_</t>
  </si>
  <si>
    <t>5. VZT_</t>
  </si>
  <si>
    <t>344</t>
  </si>
  <si>
    <t>1.2.01</t>
  </si>
  <si>
    <t>Destrafikátor vč. příslušenství, upravený vzduch 7 500 m3/h, rychlost 1 360 (otáčky/min), Příkon 135W, stupeň krytí IP54</t>
  </si>
  <si>
    <t>345</t>
  </si>
  <si>
    <t>1.M1</t>
  </si>
  <si>
    <t>Montáž větrání dílny a veškerého příslušenství</t>
  </si>
  <si>
    <t>346</t>
  </si>
  <si>
    <t>1.M2</t>
  </si>
  <si>
    <t>Větrání WC</t>
  </si>
  <si>
    <t>347</t>
  </si>
  <si>
    <t>3.1A.01</t>
  </si>
  <si>
    <t>Dveřní mřížka, rozměr: 400x200mm, přívod</t>
  </si>
  <si>
    <t>3_</t>
  </si>
  <si>
    <t>5. VZT_3_</t>
  </si>
  <si>
    <t>348</t>
  </si>
  <si>
    <t>3.1B.02</t>
  </si>
  <si>
    <t>Potrubní diagonální ventilátor, průtok 330 m3/hod, výkon 26/22 W, průměr potrubí 125 mm (např. Mixvent TD 350/125) - odtah</t>
  </si>
  <si>
    <t>349</t>
  </si>
  <si>
    <t>Žaluzie protidešťová hliníková se sítem 200 x 250 mm - barva žaluzie bude upřesněna při realizaci, odtah</t>
  </si>
  <si>
    <t>350</t>
  </si>
  <si>
    <t>3.1B.03</t>
  </si>
  <si>
    <t>Talířový ventil  d100, vč.  příslušenství, odtah</t>
  </si>
  <si>
    <t>RTS II / 2022</t>
  </si>
  <si>
    <t>351</t>
  </si>
  <si>
    <t>3.1B.04</t>
  </si>
  <si>
    <t>Talířový ventil d125, vč.  příslušenství, odtah</t>
  </si>
  <si>
    <t>352</t>
  </si>
  <si>
    <t>3.1B.05</t>
  </si>
  <si>
    <t>Zpětná klapka regulační kruhová RKKM d 125 mm, odtah</t>
  </si>
  <si>
    <t>353</t>
  </si>
  <si>
    <t>3.1B.06</t>
  </si>
  <si>
    <t>Hadice ohebná hluktlumící d125, odtah</t>
  </si>
  <si>
    <t>354</t>
  </si>
  <si>
    <t>3.1B.07</t>
  </si>
  <si>
    <t>Pozinkované potrubí (čtyřhranné, spiro), sk.1, tř. těsnosti B - rovné tvarovky, odtah</t>
  </si>
  <si>
    <t>355</t>
  </si>
  <si>
    <t>3.1B.08</t>
  </si>
  <si>
    <t>Tepelná izolace, syntetický kaučuk, tl. 20mm</t>
  </si>
  <si>
    <t>356</t>
  </si>
  <si>
    <t>3.M1</t>
  </si>
  <si>
    <t>Montáž větrání WC a veškerého souvisejícího příslušenství</t>
  </si>
  <si>
    <t>357</t>
  </si>
  <si>
    <t>3.M2</t>
  </si>
  <si>
    <t>Spojovací těsnící a montážní materiál</t>
  </si>
  <si>
    <t>358</t>
  </si>
  <si>
    <t>4.1B.01a</t>
  </si>
  <si>
    <t>Odsávací hadicový naviják pružinový vč. příslušenství, hadice L=10 m, d=150mm</t>
  </si>
  <si>
    <t>5. VZT_4_</t>
  </si>
  <si>
    <t>359</t>
  </si>
  <si>
    <t>4.1B.01b</t>
  </si>
  <si>
    <t>Radiální odstředivý ventilátor vč. příslušenství, N24, 3x400 V, výkon 0,9 kW (např. Nederman)</t>
  </si>
  <si>
    <t>360</t>
  </si>
  <si>
    <t>4.1B.02</t>
  </si>
  <si>
    <t>Tlumič hluku. d 520/1 000, vč.  příslušenství, odtah</t>
  </si>
  <si>
    <t>361</t>
  </si>
  <si>
    <t>4.1B.03</t>
  </si>
  <si>
    <t>Výfukový oblouk se sítem d 250, 120 stupňů, vč.  příslušenství, odtah</t>
  </si>
  <si>
    <t>362</t>
  </si>
  <si>
    <t>4.1B.04</t>
  </si>
  <si>
    <t>Zpětná klapka regulační kruhová RKKM d 250 mm, odtah</t>
  </si>
  <si>
    <t>363</t>
  </si>
  <si>
    <t>4.1B.05</t>
  </si>
  <si>
    <t>364</t>
  </si>
  <si>
    <t>4.1B.06</t>
  </si>
  <si>
    <t>Tepelná izolace minerální vlna tl. 40 mm + Al plech</t>
  </si>
  <si>
    <t>365</t>
  </si>
  <si>
    <t>4.1B.07</t>
  </si>
  <si>
    <t>Tepelná izolace minerální vlna tl. 60 mm + Al plech</t>
  </si>
  <si>
    <t>366</t>
  </si>
  <si>
    <t>4.M1</t>
  </si>
  <si>
    <t>Montáž odsávání výfukových plynů vč. příslušenství</t>
  </si>
  <si>
    <t>367</t>
  </si>
  <si>
    <t>4.M2</t>
  </si>
  <si>
    <t>Větrání skladu</t>
  </si>
  <si>
    <t>368</t>
  </si>
  <si>
    <t>5.1A.01</t>
  </si>
  <si>
    <t>Žaluzie protidešťová hliníková se sítem, s filtr. tkanina G3 400 x 630 mm, typ 623 - barva žaluzie bude upřesněna při realizaci, přívod</t>
  </si>
  <si>
    <t>5_</t>
  </si>
  <si>
    <t>5. VZT_5_</t>
  </si>
  <si>
    <t>369</t>
  </si>
  <si>
    <t>5.1A.02</t>
  </si>
  <si>
    <t>Uzavírací klapka - těsná, se servopohonem, 230V - se signalizací, zateplená (T3U1), hliníková, 400x630, RKALM 400x610.46.T3U1, přívod</t>
  </si>
  <si>
    <t>370</t>
  </si>
  <si>
    <t>5.1A.03</t>
  </si>
  <si>
    <t>Pozinkované potrubí (čtyřhranné, spiro), sk.1, tř. těsnosti B - rovné tvarovky, přívod</t>
  </si>
  <si>
    <t>371</t>
  </si>
  <si>
    <t>5.1B.01</t>
  </si>
  <si>
    <t>Potrubní diagonální ventilátor, připojovací manžety, průměr potrubí 315 mm (např. Mixvent TD-2000/315 3V) - odtah</t>
  </si>
  <si>
    <t>372</t>
  </si>
  <si>
    <t>5.1B.02</t>
  </si>
  <si>
    <t>Čtyřhranná vyústka - do potrubí, 1-řadá, 500x300, VKE-V-1.0 500/300, RAL 9010, vyústka komfortní - odtah</t>
  </si>
  <si>
    <t>373</t>
  </si>
  <si>
    <t>5.1B.03</t>
  </si>
  <si>
    <t>Výfukový oblouk se sítem d 280/315, 120 stupňů, vč.  příslušenství, odtah</t>
  </si>
  <si>
    <t>374</t>
  </si>
  <si>
    <t>5.1B.04</t>
  </si>
  <si>
    <t>Zpětná klapka regulační kruhová RKKM d 280 mm, odtah</t>
  </si>
  <si>
    <t>375</t>
  </si>
  <si>
    <t>5.1B.05</t>
  </si>
  <si>
    <t>Tlumič hluku 400x315/1000, buňky 200x315/1000, vč.  příslušenství, odtah</t>
  </si>
  <si>
    <t>376</t>
  </si>
  <si>
    <t>5.1B.06</t>
  </si>
  <si>
    <t>Tlumič hluku 400x315/1500, buňky 200x315/1500, vč.  příslušenství, odtah</t>
  </si>
  <si>
    <t>377</t>
  </si>
  <si>
    <t>5.1B.07</t>
  </si>
  <si>
    <t>378</t>
  </si>
  <si>
    <t>5.1B.08</t>
  </si>
  <si>
    <t>Tepelná izolace minerální vlna tl. 40 mm + Al plech - odtah</t>
  </si>
  <si>
    <t>379</t>
  </si>
  <si>
    <t>5.1B.09</t>
  </si>
  <si>
    <t>Tepelná izolace minerální vlna tl. 60 mm + Al plech - odtah</t>
  </si>
  <si>
    <t>380</t>
  </si>
  <si>
    <t>5.1C.01</t>
  </si>
  <si>
    <t>Hlavní regulátor - ovládání</t>
  </si>
  <si>
    <t>381</t>
  </si>
  <si>
    <t>5.1C.02</t>
  </si>
  <si>
    <t>Regulátor otáček, (např. REB Ecowatt 68/80/80 mm, krytí IP 44) - ovládání</t>
  </si>
  <si>
    <t>382</t>
  </si>
  <si>
    <t>5.1C.03</t>
  </si>
  <si>
    <t>Programovatelný doběhový spínač DT 8-R, jmen.napětí 230V/50-60 Hz příkon 1 VA, krytí IP 30, 49/49/21 mm - ovládání</t>
  </si>
  <si>
    <t>383</t>
  </si>
  <si>
    <t>5.1C.04</t>
  </si>
  <si>
    <t>Prostorový termostat RTR 6763, krytí IP 30, max zátěž 230V 10A, 75/75/25,5 mm - ovládání</t>
  </si>
  <si>
    <t>384</t>
  </si>
  <si>
    <t>5.M1</t>
  </si>
  <si>
    <t>Montáž větrání skladu vč. příslušenství</t>
  </si>
  <si>
    <t>385</t>
  </si>
  <si>
    <t>5.M2</t>
  </si>
  <si>
    <t>000VD8</t>
  </si>
  <si>
    <t>5. Ostatní</t>
  </si>
  <si>
    <t>386</t>
  </si>
  <si>
    <t>0000VD41R</t>
  </si>
  <si>
    <t>Doprava materiálu, zvedací mechanismy</t>
  </si>
  <si>
    <t>000VD8_</t>
  </si>
  <si>
    <t>5. VZT_0_</t>
  </si>
  <si>
    <t>387</t>
  </si>
  <si>
    <t>0000VD42R</t>
  </si>
  <si>
    <t>Zaregulování systému a uvedení do provozu</t>
  </si>
  <si>
    <t>388</t>
  </si>
  <si>
    <t>0000VD43R</t>
  </si>
  <si>
    <t>Zaškolení obsluhy, předávací dokumentace</t>
  </si>
  <si>
    <t>Elektro</t>
  </si>
  <si>
    <t>6. EL.</t>
  </si>
  <si>
    <t>389</t>
  </si>
  <si>
    <t>132501111R00</t>
  </si>
  <si>
    <t>Hloubení rýh šířky do 60 cm v hor.6, STROJNĚ - PŘÍPOJKA NN</t>
  </si>
  <si>
    <t>6. EL._1_</t>
  </si>
  <si>
    <t>6. EL._</t>
  </si>
  <si>
    <t>1*0,6*1</t>
  </si>
  <si>
    <t>přípojka NN</t>
  </si>
  <si>
    <t>390</t>
  </si>
  <si>
    <t>162201151R00</t>
  </si>
  <si>
    <t>Vodorovné přemístění výkopku z hor.5-7 do 20 m</t>
  </si>
  <si>
    <t>391</t>
  </si>
  <si>
    <t>162701155R00</t>
  </si>
  <si>
    <t>Vodorovné přemístění výkopku z hor.5-7 do 10000 m</t>
  </si>
  <si>
    <t>392</t>
  </si>
  <si>
    <t>Zásyp jam, rýh, šachet se zhutněním - PŘÍPOJKA NN</t>
  </si>
  <si>
    <t>M46</t>
  </si>
  <si>
    <t>Zemní práce při montážích</t>
  </si>
  <si>
    <t>393</t>
  </si>
  <si>
    <t>460300006R00</t>
  </si>
  <si>
    <t>Hutnění zeminy po vrstvách 20 cm - PŘÍPOJKA NN</t>
  </si>
  <si>
    <t>M46_</t>
  </si>
  <si>
    <t>6. EL._9_</t>
  </si>
  <si>
    <t>394</t>
  </si>
  <si>
    <t>612403399RT2</t>
  </si>
  <si>
    <t>Hrubá výplň rýh ve stěnách maltou</t>
  </si>
  <si>
    <t>6. EL._6_</t>
  </si>
  <si>
    <t>0,15*0,15*10</t>
  </si>
  <si>
    <t>zapravení okolo rozvaděče</t>
  </si>
  <si>
    <t>395</t>
  </si>
  <si>
    <t>612403380RT1</t>
  </si>
  <si>
    <t>Hrubá výplň rýh ve stěnách do 3x3 cm maltou ze SMS</t>
  </si>
  <si>
    <t>396</t>
  </si>
  <si>
    <t>974051313R00</t>
  </si>
  <si>
    <t>Frézování drážky do 30x30 mm, zdivo,cihel.tvárnice</t>
  </si>
  <si>
    <t>397</t>
  </si>
  <si>
    <t>974100020RA0</t>
  </si>
  <si>
    <t>Vysekání rýh ve zdivu z cihel, 10 x 10 cm</t>
  </si>
  <si>
    <t>398</t>
  </si>
  <si>
    <t>979082111R00</t>
  </si>
  <si>
    <t>Vnitrostaveništní doprava suti do 10 m</t>
  </si>
  <si>
    <t>399</t>
  </si>
  <si>
    <t>979081111R00</t>
  </si>
  <si>
    <t>400</t>
  </si>
  <si>
    <t>979094211R00</t>
  </si>
  <si>
    <t>Nakládání nebo překládání vybourané suti</t>
  </si>
  <si>
    <t>401</t>
  </si>
  <si>
    <t>979081121R00</t>
  </si>
  <si>
    <t>Příplatek k odvozu za každý další 1 km</t>
  </si>
  <si>
    <t>0,095*9</t>
  </si>
  <si>
    <t>předpokládaná vzdálenost 10 km</t>
  </si>
  <si>
    <t>402</t>
  </si>
  <si>
    <t>979990101R00</t>
  </si>
  <si>
    <t>Poplatek za uložení směsi betonu a cihel skupina 170101 a 170102</t>
  </si>
  <si>
    <t>403</t>
  </si>
  <si>
    <t>0,6*1,9</t>
  </si>
  <si>
    <t>100VD</t>
  </si>
  <si>
    <t>Přípojka NN</t>
  </si>
  <si>
    <t>404</t>
  </si>
  <si>
    <t>650031119R00x</t>
  </si>
  <si>
    <t>D+M Rozvaděč SR501/NKW2 - pouze úprava pro jeden vývod a doplnění pojistek PNA1 gG 3x80A</t>
  </si>
  <si>
    <t>100VD_</t>
  </si>
  <si>
    <t>405</t>
  </si>
  <si>
    <t>210810430R00x</t>
  </si>
  <si>
    <t>Kabel silový CYKY 1kV 4 x 50 mm2 přípojka z SR401 do R-AD</t>
  </si>
  <si>
    <t>406</t>
  </si>
  <si>
    <t>34111622</t>
  </si>
  <si>
    <t>Kabel silový s Cu jádrem 1 kV 1-CYKY 4 x 50 mm2</t>
  </si>
  <si>
    <t>407</t>
  </si>
  <si>
    <t>222260546R00x</t>
  </si>
  <si>
    <t>Trubka KOPOFLEX 63 uložená do země</t>
  </si>
  <si>
    <t>408</t>
  </si>
  <si>
    <t>3457114702</t>
  </si>
  <si>
    <t>Trubka kabelová chránička KOPOFLEX KF 09063</t>
  </si>
  <si>
    <t>409</t>
  </si>
  <si>
    <t>210800105RT1</t>
  </si>
  <si>
    <t>D+M HOP</t>
  </si>
  <si>
    <t>410</t>
  </si>
  <si>
    <t>210800114R00R</t>
  </si>
  <si>
    <t>D+M Vkládací lišta</t>
  </si>
  <si>
    <t>411</t>
  </si>
  <si>
    <t>D+M Drobný elektroinstalační materiál</t>
  </si>
  <si>
    <t>412</t>
  </si>
  <si>
    <t>649841R</t>
  </si>
  <si>
    <t>Revize přípojky</t>
  </si>
  <si>
    <t>S100VD</t>
  </si>
  <si>
    <t>Rozvodnice R-AD</t>
  </si>
  <si>
    <t>413</t>
  </si>
  <si>
    <t>D+M R-S Velkoobsahová rozvodnice, na omítku, plechový 715x1060x150, 198 modulů</t>
  </si>
  <si>
    <t>S100VD_</t>
  </si>
  <si>
    <t>414</t>
  </si>
  <si>
    <t>D+M R-S - hl. vypínač, svodič přepětí, jističe, chrániče, lišty, svorkovice, relé, propojky, impulzní relé, apod.</t>
  </si>
  <si>
    <t>415</t>
  </si>
  <si>
    <t>Drobný elektroinstalační materiál + montáž - usazení rozvaděče</t>
  </si>
  <si>
    <t>004VD</t>
  </si>
  <si>
    <t>Ovládací prvky: (standart jako např. ABB Tango)</t>
  </si>
  <si>
    <t>416</t>
  </si>
  <si>
    <t>D+M Tlačítko, IP44 (ovládání vrata)</t>
  </si>
  <si>
    <t>004VD_</t>
  </si>
  <si>
    <t>6. EL._0_</t>
  </si>
  <si>
    <t>417</t>
  </si>
  <si>
    <t>210110001RT2</t>
  </si>
  <si>
    <t>D+M Spínač nástěnný jednopól.- řaz. 1, obyč.prostředí, vč. dodávky strojku, rámečku a krytu</t>
  </si>
  <si>
    <t>418</t>
  </si>
  <si>
    <t>210110021RT1</t>
  </si>
  <si>
    <t>D+M spínač nástěnný jednopól.- řaz. 1, IP44, vč. dodávky strojku. rámečku a krytu</t>
  </si>
  <si>
    <t>419</t>
  </si>
  <si>
    <t>210110024RT2</t>
  </si>
  <si>
    <t>D+M spínač nástěnný střídavý - řaz. 6, IP44, vč. dodávky strojku, rámečku a krytu</t>
  </si>
  <si>
    <t>420</t>
  </si>
  <si>
    <t>D+M pohybového čidla pro LED svítidla, 360 stupňů, č.230V</t>
  </si>
  <si>
    <t>005VD</t>
  </si>
  <si>
    <t>Svítidla (přesné typy musí odsouhlasit investor)</t>
  </si>
  <si>
    <t>421</t>
  </si>
  <si>
    <t>Osvětlení 1 - SVÍTIDLO LED, 37,1W/5439lm/4000K, CRI 80, vč. zavěšení</t>
  </si>
  <si>
    <t>005VD_</t>
  </si>
  <si>
    <t>422</t>
  </si>
  <si>
    <t>210800114R01R</t>
  </si>
  <si>
    <t>Osvětlení 2 - SVÍTIDLO LED, 104W/17353lm/4000K, CRI 80, vč. Zavěšení</t>
  </si>
  <si>
    <t>423</t>
  </si>
  <si>
    <t>210800114R02R</t>
  </si>
  <si>
    <t>Osvětlení 2-NO - SVÍTIDLO LED, 104W/17353lm/4000K, CRI 80, NOUZOVÝ MODUL 1HODINA, 5,2W/926lm, vč. Zavěšení</t>
  </si>
  <si>
    <t>424</t>
  </si>
  <si>
    <t>210800114R03R</t>
  </si>
  <si>
    <t>Osvětlení 3 - SVÍTIDLO LED, 32W/3200lm/4000K, CRI 80, IP44</t>
  </si>
  <si>
    <t>425</t>
  </si>
  <si>
    <t>210800114R04R</t>
  </si>
  <si>
    <t>Osvětlení N1 - NOUZOVÉ LED SVÍTIDLO, 1W/350lm, nástěnné, IP44, nouzový modul 1h</t>
  </si>
  <si>
    <t>426</t>
  </si>
  <si>
    <t>210800114R05R</t>
  </si>
  <si>
    <t>Osvětlení VEN - LED reflektor 50W/4500lm, 230V, IP65</t>
  </si>
  <si>
    <t>427</t>
  </si>
  <si>
    <t>210800114R07R</t>
  </si>
  <si>
    <t>Recyklační poplatek</t>
  </si>
  <si>
    <t>428</t>
  </si>
  <si>
    <t>210800114R06R</t>
  </si>
  <si>
    <t>Měření osvětlení + protokol</t>
  </si>
  <si>
    <t>006VD</t>
  </si>
  <si>
    <t>Ostatní technologie</t>
  </si>
  <si>
    <t>429</t>
  </si>
  <si>
    <t>Připojení ventilátoru vč.ovladačů - ventilátor a ovladač je dodávka VZT</t>
  </si>
  <si>
    <t>006VD_</t>
  </si>
  <si>
    <t>430</t>
  </si>
  <si>
    <t>Připojení VZT zařízení - zařízení a ovladač je dodávka VZT</t>
  </si>
  <si>
    <t>431</t>
  </si>
  <si>
    <t>Bezpečnostní evakuační značení - fotoluminiscenční</t>
  </si>
  <si>
    <t>007VD</t>
  </si>
  <si>
    <t>Zásuvky (standart jako např. ABB Tango)</t>
  </si>
  <si>
    <t>432</t>
  </si>
  <si>
    <t>650052611R00</t>
  </si>
  <si>
    <t>Montáž zásuvky nástěnné</t>
  </si>
  <si>
    <t>007VD_</t>
  </si>
  <si>
    <t>433</t>
  </si>
  <si>
    <t>210111001R00</t>
  </si>
  <si>
    <t>Zásuvka jednonásobná</t>
  </si>
  <si>
    <t>434</t>
  </si>
  <si>
    <t>210111131R00</t>
  </si>
  <si>
    <t>Zásuvka jednonásobná, IP44</t>
  </si>
  <si>
    <t>435</t>
  </si>
  <si>
    <t>650052822R00</t>
  </si>
  <si>
    <t>Montáž zásuvky 400V</t>
  </si>
  <si>
    <t>436</t>
  </si>
  <si>
    <t>210111201R00</t>
  </si>
  <si>
    <t>Zásuvka 400V/16A, IP44</t>
  </si>
  <si>
    <t>008VD</t>
  </si>
  <si>
    <t>Kabeláž</t>
  </si>
  <si>
    <t>437</t>
  </si>
  <si>
    <t>220301021R00</t>
  </si>
  <si>
    <t>Montáž Lišta elektroinstalační L 20</t>
  </si>
  <si>
    <t>008VD_</t>
  </si>
  <si>
    <t>130+420</t>
  </si>
  <si>
    <t>438</t>
  </si>
  <si>
    <t>345710531</t>
  </si>
  <si>
    <t>El. instalační trubka ohebná pr.20, vč.úchytek</t>
  </si>
  <si>
    <t>439</t>
  </si>
  <si>
    <t>34571092R</t>
  </si>
  <si>
    <t>Trubka elektroinstalační tuhá z PVC, průměr 20 mm, vč. úchytek</t>
  </si>
  <si>
    <t>440</t>
  </si>
  <si>
    <t>210020332R00R</t>
  </si>
  <si>
    <t>Kabelový žlab 50/50, vč.uchycení</t>
  </si>
  <si>
    <t>441</t>
  </si>
  <si>
    <t>210800117RT1x</t>
  </si>
  <si>
    <t>Kabel CYKY 750 V 5x4 mm2, včetně dodávky kabelu (zvedák)</t>
  </si>
  <si>
    <t>442</t>
  </si>
  <si>
    <t>210800116RT1x</t>
  </si>
  <si>
    <t>Kabel CYKY 750 V 5x2,5 mm2, včetně dodávky kabelu</t>
  </si>
  <si>
    <t>443</t>
  </si>
  <si>
    <t>210800106RT1x</t>
  </si>
  <si>
    <t>Kabel CYKY 750 V 3x2,5 mm2 uložený pod omítkou, včetně dodávky kabelu</t>
  </si>
  <si>
    <t>444</t>
  </si>
  <si>
    <t>210800115RT1x</t>
  </si>
  <si>
    <t>Kabel CYKY 750 V 5x1,5 mm2 uložený pod omítkou, včetně dodávky kabelu</t>
  </si>
  <si>
    <t>445</t>
  </si>
  <si>
    <t>210800105RT1x</t>
  </si>
  <si>
    <t>Kabel CYKY 750 V 3x1,5 mm2, včetně dodávky kabelu</t>
  </si>
  <si>
    <t>446</t>
  </si>
  <si>
    <t>222270609R00x</t>
  </si>
  <si>
    <t>CYA 35 ZŽL</t>
  </si>
  <si>
    <t>447</t>
  </si>
  <si>
    <t>222270605R00x</t>
  </si>
  <si>
    <t>CYA 6 ZŽL</t>
  </si>
  <si>
    <t>448</t>
  </si>
  <si>
    <t>210010301RT1</t>
  </si>
  <si>
    <t>D+M Krabice přístrojová KP, bez zapojení, kruhová,včetně dodávky KP 68/2</t>
  </si>
  <si>
    <t>449</t>
  </si>
  <si>
    <t>210010346RT2</t>
  </si>
  <si>
    <t>D+M Drobný, pomocný, elektroinstalační materiál</t>
  </si>
  <si>
    <t>450</t>
  </si>
  <si>
    <t>210010346RT2R</t>
  </si>
  <si>
    <t>D+M požármí ucpávky</t>
  </si>
  <si>
    <t>009VD</t>
  </si>
  <si>
    <t>Bleskosvod</t>
  </si>
  <si>
    <t>451</t>
  </si>
  <si>
    <t>650111611RT8R</t>
  </si>
  <si>
    <t>D+M Vedení – drát AlMgSi O8</t>
  </si>
  <si>
    <t>009VD_</t>
  </si>
  <si>
    <t>220111771R00R</t>
  </si>
  <si>
    <t>D+M Vedení – drát O8 FeZn</t>
  </si>
  <si>
    <t>453</t>
  </si>
  <si>
    <t>210800105RT1R</t>
  </si>
  <si>
    <t>D+M Vedení – drát O10 nerez</t>
  </si>
  <si>
    <t>454</t>
  </si>
  <si>
    <t>D+M Vedení – pásek FeZn 30x4</t>
  </si>
  <si>
    <t>455</t>
  </si>
  <si>
    <t>6501116115R</t>
  </si>
  <si>
    <t>Pospojení mikropilot</t>
  </si>
  <si>
    <t>456</t>
  </si>
  <si>
    <t>22011177158R</t>
  </si>
  <si>
    <t>D+M Jímač AlMgSi 1000mm</t>
  </si>
  <si>
    <t>457</t>
  </si>
  <si>
    <t>210800105RT51R</t>
  </si>
  <si>
    <t>D+M Jímač AlMgSi 1500mm</t>
  </si>
  <si>
    <t>458</t>
  </si>
  <si>
    <t>210800105RT9R</t>
  </si>
  <si>
    <t>D+M Úchyt pro jímač na plechové střechy</t>
  </si>
  <si>
    <t>459</t>
  </si>
  <si>
    <t>8501116115R</t>
  </si>
  <si>
    <t>D+M Podpěra vedení pro plechové střechy</t>
  </si>
  <si>
    <t>460</t>
  </si>
  <si>
    <t>86011177158R</t>
  </si>
  <si>
    <t>D+M Zkušební svorka</t>
  </si>
  <si>
    <t>461</t>
  </si>
  <si>
    <t>870800105RT51R</t>
  </si>
  <si>
    <t>D+M Zemní box pro zkušební svorku</t>
  </si>
  <si>
    <t>462</t>
  </si>
  <si>
    <t>880800105RT9R</t>
  </si>
  <si>
    <t>D+M Křížová svorka</t>
  </si>
  <si>
    <t>463</t>
  </si>
  <si>
    <t>7501116115R</t>
  </si>
  <si>
    <t>D+M Svorka SS</t>
  </si>
  <si>
    <t>464</t>
  </si>
  <si>
    <t>72011177158R</t>
  </si>
  <si>
    <t>D+M Připojení k ocelové konstrukci</t>
  </si>
  <si>
    <t>465</t>
  </si>
  <si>
    <t>710800105RT51R</t>
  </si>
  <si>
    <t>D+M Ekvipotenciální připojnice</t>
  </si>
  <si>
    <t>466</t>
  </si>
  <si>
    <t>710800105RT9R</t>
  </si>
  <si>
    <t>D+M Svorka pro ekvipotenciální přípojnice</t>
  </si>
  <si>
    <t>467</t>
  </si>
  <si>
    <t>D+M asfaltový nátěr</t>
  </si>
  <si>
    <t>468</t>
  </si>
  <si>
    <t>76011177158R</t>
  </si>
  <si>
    <t>469</t>
  </si>
  <si>
    <t>770800105RT51R</t>
  </si>
  <si>
    <t>Dohled, koordinace, komunikace s revizním technikem, koordinace s dodavatelem ocelových konstrukcí a panelů, dílenská dokumentace</t>
  </si>
  <si>
    <t>470</t>
  </si>
  <si>
    <t>780800105RT9R</t>
  </si>
  <si>
    <t>Revize hromosvodu</t>
  </si>
  <si>
    <t>002VD</t>
  </si>
  <si>
    <t>222330891R00x</t>
  </si>
  <si>
    <t>Autonomní hlásič opticko-kouřový, baterie</t>
  </si>
  <si>
    <t>002VD_</t>
  </si>
  <si>
    <t>472</t>
  </si>
  <si>
    <t>222330891R001x</t>
  </si>
  <si>
    <t>Oživení, měření, doprava</t>
  </si>
  <si>
    <t>473</t>
  </si>
  <si>
    <t>222330891R002x</t>
  </si>
  <si>
    <t>Koordinace s ostatními profesemi</t>
  </si>
  <si>
    <t>474</t>
  </si>
  <si>
    <t>222330891R003x</t>
  </si>
  <si>
    <t>Celková prohlídka elektrických rozvodů, Revize</t>
  </si>
  <si>
    <t>475</t>
  </si>
  <si>
    <t>222330891R004x</t>
  </si>
  <si>
    <t>Dokumentace skutečného provedení</t>
  </si>
  <si>
    <t>476</t>
  </si>
  <si>
    <t>222330891R005x</t>
  </si>
  <si>
    <t>Dokumentace Zhotovitele</t>
  </si>
  <si>
    <t>Vedlejší rozpočtové náklady</t>
  </si>
  <si>
    <t>VORN - Vedlejší a ostatní rozpočtové náklady</t>
  </si>
  <si>
    <t>7.VRN</t>
  </si>
  <si>
    <t>03VRN</t>
  </si>
  <si>
    <t>Vedlejší náklady</t>
  </si>
  <si>
    <t>477</t>
  </si>
  <si>
    <t>030001VRN</t>
  </si>
  <si>
    <t>Zařízení staveniště - veškeré náklady spojené s vybudováním, provozem a odstraněním ZS</t>
  </si>
  <si>
    <t>Soubor</t>
  </si>
  <si>
    <t>03VRN_</t>
  </si>
  <si>
    <t>7.VRN_ _</t>
  </si>
  <si>
    <t>7.VRN_</t>
  </si>
  <si>
    <t>478</t>
  </si>
  <si>
    <t>030002VRN</t>
  </si>
  <si>
    <t>Zkoušky a revize - náklady zhotovitele na provádění zkoušek a revizí nezbytných k provedení díla</t>
  </si>
  <si>
    <t>479</t>
  </si>
  <si>
    <t>030003VRN</t>
  </si>
  <si>
    <t>Provozní vlivy - zohlednění všech cizích vlivů způsobených na stavbě</t>
  </si>
  <si>
    <t>480</t>
  </si>
  <si>
    <t>030004VRN</t>
  </si>
  <si>
    <t>Geodetické práce - vytyčení všech stávajících podzemních sítí, stavby, IS, skutečného provedení atd.</t>
  </si>
  <si>
    <t>481</t>
  </si>
  <si>
    <t>030005VRN</t>
  </si>
  <si>
    <t>Mimostaveništní doprava - mimořádné náklady spojené s dopravou materiálu na staveniště</t>
  </si>
  <si>
    <t>482</t>
  </si>
  <si>
    <t>030006VRN</t>
  </si>
  <si>
    <t>Územní vlivy - zohlednění dopravních omezení záborů veřejných ploch vč. dokumentace a povolení přechodné úpravy provozu na pozemních kom.</t>
  </si>
  <si>
    <t>483</t>
  </si>
  <si>
    <t>030007VRN</t>
  </si>
  <si>
    <t>Vnitroareálová doprava - mimořádné náklady spojené se stíženými podmínkami (absence přístupu apod.)</t>
  </si>
  <si>
    <t>484</t>
  </si>
  <si>
    <t>030008VRN</t>
  </si>
  <si>
    <t>Dokumentace skutečného provedení stavby</t>
  </si>
  <si>
    <t>485</t>
  </si>
  <si>
    <t>030009VRN</t>
  </si>
  <si>
    <t>Bankovní záruky - náklady na bankovní záruky dle podmínek zadavatele</t>
  </si>
  <si>
    <t>486</t>
  </si>
  <si>
    <t>0300010VRN</t>
  </si>
  <si>
    <t>Pojištění stavby - náklady na pojištění stavby dle podmínek zadavatele</t>
  </si>
  <si>
    <t>487</t>
  </si>
  <si>
    <t>0300011VRN</t>
  </si>
  <si>
    <t>Dílenská a výrobní dokumentace</t>
  </si>
  <si>
    <t>488</t>
  </si>
  <si>
    <t>0300012VRN</t>
  </si>
  <si>
    <t>Koordinační činnost pro jednotlivé profese vč. dokumentace</t>
  </si>
  <si>
    <t>489</t>
  </si>
  <si>
    <t>0300013VRN</t>
  </si>
  <si>
    <t>Zajištění kolaudace stavby včetně inženýrské činnosti</t>
  </si>
  <si>
    <t>Celkem:</t>
  </si>
  <si>
    <t>Poznámka:</t>
  </si>
  <si>
    <t>Popis rozpočtu - "Autodílna - SAKO Brno, a.s., Černovická 15".
Rozpočet je zpracován z dokumentace pro provádění stavby.
a) veškeré položky, přípomoce, dopravu, montáž, zpevněné montážní plochy, atd... zahrnout do jednotlivých jednotkových cen.
b) součástí prací jsou veškeré zkoušky, potřebná měření, inspekce, uvedení zařízení do provozu, zaškolení obsluhy, provozní řády, manuály a revize v českém jazyce. Za komplexní vyzkoušení se považuje bezporuchový provoz po dobu minimálně 96 hod.
c) součástí dodávky je zpracování veškeré dílenské dokumentace a dokumentace skutečného provedení.
d) součástí dodávky je kompletní dokladová část díla nutná k získání kolaudačního souhlasu stavby.
e) v rozsahu prací zhotovitele jsou rovněž jakékoliv prvky, zařízení, práce a pomocné materiály, neuvedené v tomto soupisu výkonů, které jsou ale nezbytně nutné k dodání, instalaci, dokončení a provozování díla, včetně ztratného a prořezů.
f) součástí dodávky jsou veškerá geodetická měření jako například vytyčení konstrukcí, kontrolní měření, zaměření skutečného stavu a pod.
g) součástí dodávky jsou i náklady na případná opatření související s ochranou stávajících sítí, komunikací či staveb.
h) součástí jednotkových cen jsou i vícenáklady související s výstavbou v zimním období, průběžný úklid staveniště a přilehlých komunikací, likvidaci odpadů, dočasná dopravní omezení atd.
k) pokud se v dokumentaci vyskytují obchodní názvy, jedná se pouze o vymezení minimálních požadovaných standardů výrobku, technologie či materiálu a zadavatel připouští použití i jiného, kvalitativně či technologicky obdobného řešení, které spňuje minimální parametry uvedené ve specifikaci projektové dokumentace.
Nedílnou součástí výkazu výměr (slepého rozpočtu) je projektová dokumentace!!
Zpracovatel nabídky je povinen prověřit specifikace a výměry uvedené ve výkazu výměr.
V případě zjištěných rozdílů má na tyto rozdíly upozornit ve lhůtě pro podání nabídek prostřednictvím žádosti o dodatečné informace k zadávacím podmínkám. Uchazeč vyplní všechny položky soupisu prací.</t>
  </si>
  <si>
    <t>Slepý stavební rozpočet - rekapitulace</t>
  </si>
  <si>
    <t>Objekt</t>
  </si>
  <si>
    <t>Náklady (Kč) - dodávka</t>
  </si>
  <si>
    <t>Náklady (Kč) - Montáž</t>
  </si>
  <si>
    <t>Náklady (Kč) - celkem</t>
  </si>
  <si>
    <t>F</t>
  </si>
  <si>
    <t>T</t>
  </si>
  <si>
    <t>Krycí list slepého rozpočtu</t>
  </si>
  <si>
    <t>IČO/DIČ:</t>
  </si>
  <si>
    <t>60713470/</t>
  </si>
  <si>
    <t>06722865/</t>
  </si>
  <si>
    <t>Položek:</t>
  </si>
  <si>
    <t>Datum:</t>
  </si>
  <si>
    <t>Rozpočtové náklady v Kč</t>
  </si>
  <si>
    <t>A</t>
  </si>
  <si>
    <t>Základní rozpočtové náklady</t>
  </si>
  <si>
    <t>B</t>
  </si>
  <si>
    <t>Doplňkové náklady</t>
  </si>
  <si>
    <t>C</t>
  </si>
  <si>
    <t>Náklady na umístění stavby (NUS)</t>
  </si>
  <si>
    <t>HSV</t>
  </si>
  <si>
    <t>Dodávky</t>
  </si>
  <si>
    <t>Práce přesčas</t>
  </si>
  <si>
    <t>Zařízení staveniště</t>
  </si>
  <si>
    <t>Bez pevné podl.</t>
  </si>
  <si>
    <t>Mimostav. doprava</t>
  </si>
  <si>
    <t>PSV</t>
  </si>
  <si>
    <t>Kulturní památka</t>
  </si>
  <si>
    <t>Územní vlivy</t>
  </si>
  <si>
    <t>Provozní vlivy</t>
  </si>
  <si>
    <t>"M"</t>
  </si>
  <si>
    <t>NUS z rozpočtu</t>
  </si>
  <si>
    <t>Ostatní materiál</t>
  </si>
  <si>
    <t>Přesun hmot a sutí</t>
  </si>
  <si>
    <t>ZRN celkem</t>
  </si>
  <si>
    <t>DN celkem</t>
  </si>
  <si>
    <t>NUS celkem</t>
  </si>
  <si>
    <t>DN celkem z obj.</t>
  </si>
  <si>
    <t>NUS celkem z obj.</t>
  </si>
  <si>
    <t>VORN celkem</t>
  </si>
  <si>
    <t>VORN celkem z obj.</t>
  </si>
  <si>
    <t>Základ 0%</t>
  </si>
  <si>
    <t>Základ 12%</t>
  </si>
  <si>
    <t>DPH 12%</t>
  </si>
  <si>
    <t>Celkem bez DPH</t>
  </si>
  <si>
    <t>Základ 21%</t>
  </si>
  <si>
    <t>DPH 21%</t>
  </si>
  <si>
    <t>Celkem včetně DPH</t>
  </si>
  <si>
    <t>Projektant</t>
  </si>
  <si>
    <t>Objednatel</t>
  </si>
  <si>
    <t>Zhotovitel</t>
  </si>
  <si>
    <t>Datum, razítko a podpis</t>
  </si>
  <si>
    <t>Vedlejší a ostatní rozpočtové náklady</t>
  </si>
  <si>
    <t>Vedlejší rozpočtové náklady VRN</t>
  </si>
  <si>
    <t>Doplňkové náklady DN</t>
  </si>
  <si>
    <t>Kč</t>
  </si>
  <si>
    <t>%</t>
  </si>
  <si>
    <t>Základna</t>
  </si>
  <si>
    <t>Celkem DN</t>
  </si>
  <si>
    <t>Celkem NUS</t>
  </si>
  <si>
    <t>Celkem VRN</t>
  </si>
  <si>
    <t>Vedlejší a ostatní rozpočtové náklady VORN</t>
  </si>
  <si>
    <t>Ostatní rozpočtové náklady (VORN)</t>
  </si>
  <si>
    <t>Průzkumy, geodetické a projektové práce</t>
  </si>
  <si>
    <t>Příprava staveniště</t>
  </si>
  <si>
    <t>Inženýrské činnosti</t>
  </si>
  <si>
    <t>Finanční náklady</t>
  </si>
  <si>
    <t>Náklady na pracovníky</t>
  </si>
  <si>
    <t>Ostatní náklady</t>
  </si>
  <si>
    <t>Vlastní VORN</t>
  </si>
  <si>
    <t>Celkem VORN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</si>
</sst>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name val="Calibri"/>
      <charset val="1"/>
    </font>
    <font>
      <sz val="18"/>
      <color rgb="FF000000"/>
      <name val="Arial"/>
      <charset val="238"/>
    </font>
    <font>
      <b/>
      <sz val="10"/>
      <color rgb="FF000000"/>
      <name val="Arial"/>
      <charset val="238"/>
    </font>
    <font>
      <sz val="10"/>
      <color rgb="FF000000"/>
      <name val="Arial"/>
      <charset val="238"/>
    </font>
    <font>
      <i/>
      <sz val="10"/>
      <color rgb="FF000000"/>
      <name val="Arial"/>
      <charset val="238"/>
    </font>
    <font>
      <i/>
      <sz val="8"/>
      <color rgb="FF000000"/>
      <name val="Arial"/>
      <charset val="238"/>
    </font>
    <font>
      <b/>
      <sz val="18"/>
      <color rgb="FF000000"/>
      <name val="Arial"/>
      <charset val="238"/>
    </font>
    <font>
      <b/>
      <sz val="20"/>
      <color rgb="FF000000"/>
      <name val="Arial"/>
      <charset val="238"/>
    </font>
    <font>
      <b/>
      <sz val="11"/>
      <color rgb="FF000000"/>
      <name val="Arial"/>
      <charset val="238"/>
    </font>
    <font>
      <b/>
      <sz val="12"/>
      <color rgb="FF000000"/>
      <name val="Arial"/>
      <charset val="238"/>
    </font>
    <font>
      <sz val="12"/>
      <color rgb="FF000000"/>
      <name val="Arial"/>
      <charset val="238"/>
    </font>
    <font>
      <b/>
      <sz val="10"/>
      <color rgb="FF000000"/>
      <name val="Arial"/>
      <family val="2"/>
      <charset val="238"/>
    </font>
  </fonts>
  <fills count="3">
    <fill>
      <patternFill patternType="none"/>
    </fill>
    <fill>
      <patternFill patternType="gray125"/>
    </fill>
    <fill>
      <patternFill patternType="solid">
        <fgColor rgb="FFC0C0C0"/>
        <bgColor rgb="FFC0C0C0"/>
      </patternFill>
    </fill>
  </fills>
  <borders count="79">
    <border>
      <left/>
      <right/>
      <top/>
      <bottom/>
      <diagonal/>
    </border>
    <border>
      <left/>
      <right/>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style="thin">
        <color rgb="FF000000"/>
      </left>
      <right/>
      <top/>
      <bottom/>
      <diagonal/>
    </border>
    <border>
      <left/>
      <right/>
      <top/>
      <bottom/>
      <diagonal/>
    </border>
    <border>
      <left/>
      <right style="thin">
        <color rgb="FF000000"/>
      </right>
      <top/>
      <bottom/>
      <diagonal/>
    </border>
    <border>
      <left style="thin">
        <color rgb="FF000000"/>
      </left>
      <right style="thin">
        <color rgb="FF000000"/>
      </right>
      <top style="medium">
        <color rgb="FF000000"/>
      </top>
      <bottom/>
      <diagonal/>
    </border>
    <border>
      <left/>
      <right style="thin">
        <color rgb="FF000000"/>
      </right>
      <top style="medium">
        <color rgb="FF000000"/>
      </top>
      <bottom/>
      <diagonal/>
    </border>
    <border>
      <left/>
      <right/>
      <top style="medium">
        <color rgb="FF000000"/>
      </top>
      <bottom/>
      <diagonal/>
    </border>
    <border>
      <left/>
      <right style="thin">
        <color rgb="FF000000"/>
      </right>
      <top style="medium">
        <color rgb="FF000000"/>
      </top>
      <bottom/>
      <diagonal/>
    </border>
    <border>
      <left/>
      <right/>
      <top style="medium">
        <color rgb="FF000000"/>
      </top>
      <bottom/>
      <diagonal/>
    </border>
    <border>
      <left style="medium">
        <color rgb="FF000000"/>
      </left>
      <right/>
      <top style="medium">
        <color rgb="FF000000"/>
      </top>
      <bottom style="thin">
        <color rgb="FF000000"/>
      </bottom>
      <diagonal/>
    </border>
    <border>
      <left/>
      <right/>
      <top style="medium">
        <color rgb="FF000000"/>
      </top>
      <bottom style="thin">
        <color rgb="FF000000"/>
      </bottom>
      <diagonal/>
    </border>
    <border>
      <left/>
      <right style="medium">
        <color rgb="FF000000"/>
      </right>
      <top style="medium">
        <color rgb="FF000000"/>
      </top>
      <bottom style="thin">
        <color rgb="FF000000"/>
      </bottom>
      <diagonal/>
    </border>
    <border>
      <left/>
      <right style="thin">
        <color rgb="FF000000"/>
      </right>
      <top style="medium">
        <color rgb="FF000000"/>
      </top>
      <bottom/>
      <diagonal/>
    </border>
    <border>
      <left style="thin">
        <color rgb="FF000000"/>
      </left>
      <right style="thin">
        <color rgb="FF000000"/>
      </right>
      <top/>
      <bottom style="medium">
        <color rgb="FF000000"/>
      </bottom>
      <diagonal/>
    </border>
    <border>
      <left/>
      <right style="thin">
        <color rgb="FF000000"/>
      </right>
      <top/>
      <bottom style="medium">
        <color rgb="FF000000"/>
      </bottom>
      <diagonal/>
    </border>
    <border>
      <left/>
      <right/>
      <top/>
      <bottom style="medium">
        <color rgb="FF000000"/>
      </bottom>
      <diagonal/>
    </border>
    <border>
      <left/>
      <right style="thin">
        <color rgb="FF000000"/>
      </right>
      <top/>
      <bottom style="medium">
        <color rgb="FF000000"/>
      </bottom>
      <diagonal/>
    </border>
    <border>
      <left/>
      <right/>
      <top/>
      <bottom style="medium">
        <color rgb="FF000000"/>
      </bottom>
      <diagonal/>
    </border>
    <border>
      <left style="medium">
        <color rgb="FF000000"/>
      </left>
      <right style="thin">
        <color rgb="FF000000"/>
      </right>
      <top/>
      <bottom style="medium">
        <color rgb="FF000000"/>
      </bottom>
      <diagonal/>
    </border>
    <border>
      <left/>
      <right style="thin">
        <color rgb="FF000000"/>
      </right>
      <top/>
      <bottom style="medium">
        <color rgb="FF000000"/>
      </bottom>
      <diagonal/>
    </border>
    <border>
      <left/>
      <right style="medium">
        <color rgb="FF000000"/>
      </right>
      <top/>
      <bottom style="medium">
        <color rgb="FF000000"/>
      </bottom>
      <diagonal/>
    </border>
    <border>
      <left/>
      <right style="thin">
        <color rgb="FF000000"/>
      </right>
      <top/>
      <bottom style="medium">
        <color rgb="FF000000"/>
      </bottom>
      <diagonal/>
    </border>
    <border>
      <left style="thin">
        <color rgb="FF000000"/>
      </left>
      <right/>
      <top/>
      <bottom/>
      <diagonal/>
    </border>
    <border>
      <left/>
      <right/>
      <top/>
      <bottom/>
      <diagonal/>
    </border>
    <border>
      <left/>
      <right style="thin">
        <color rgb="FF000000"/>
      </right>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right/>
      <top/>
      <bottom/>
      <diagonal/>
    </border>
    <border>
      <left style="medium">
        <color rgb="FF000000"/>
      </left>
      <right/>
      <top style="medium">
        <color rgb="FF000000"/>
      </top>
      <bottom style="medium">
        <color rgb="FF000000"/>
      </bottom>
      <diagonal/>
    </border>
    <border>
      <left style="medium">
        <color rgb="FF000000"/>
      </left>
      <right style="thin">
        <color rgb="FF000000"/>
      </right>
      <top style="medium">
        <color rgb="FF000000"/>
      </top>
      <bottom style="medium">
        <color rgb="FF000000"/>
      </bottom>
      <diagonal/>
    </border>
    <border>
      <left/>
      <right style="thin">
        <color rgb="FF000000"/>
      </right>
      <top style="medium">
        <color rgb="FF000000"/>
      </top>
      <bottom/>
      <diagonal/>
    </border>
    <border>
      <left style="thin">
        <color rgb="FF000000"/>
      </left>
      <right style="thin">
        <color rgb="FF000000"/>
      </right>
      <top style="medium">
        <color rgb="FF000000"/>
      </top>
      <bottom style="medium">
        <color rgb="FF000000"/>
      </bottom>
      <diagonal/>
    </border>
    <border>
      <left/>
      <right style="thin">
        <color rgb="FF000000"/>
      </right>
      <top style="medium">
        <color rgb="FF000000"/>
      </top>
      <bottom style="medium">
        <color rgb="FF000000"/>
      </bottom>
      <diagonal/>
    </border>
    <border>
      <left/>
      <right/>
      <top/>
      <bottom/>
      <diagonal/>
    </border>
    <border>
      <left style="thin">
        <color rgb="FF000000"/>
      </left>
      <right style="thin">
        <color rgb="FF000000"/>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bottom/>
      <diagonal/>
    </border>
    <border>
      <left/>
      <right style="thin">
        <color rgb="FF000000"/>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top/>
      <bottom style="thin">
        <color rgb="FF000000"/>
      </bottom>
      <diagonal/>
    </border>
    <border>
      <left style="thin">
        <color rgb="FF000000"/>
      </left>
      <right/>
      <top/>
      <bottom/>
      <diagonal/>
    </border>
    <border>
      <left/>
      <right style="thin">
        <color rgb="FF000000"/>
      </right>
      <top/>
      <bottom/>
      <diagonal/>
    </border>
    <border>
      <left/>
      <right style="thin">
        <color rgb="FF000000"/>
      </right>
      <top/>
      <bottom/>
      <diagonal/>
    </border>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top/>
      <bottom style="thin">
        <color rgb="FF000000"/>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right/>
      <top style="medium">
        <color rgb="FF000000"/>
      </top>
      <bottom/>
      <diagonal/>
    </border>
    <border>
      <left style="medium">
        <color rgb="FF000000"/>
      </left>
      <right/>
      <top/>
      <bottom/>
      <diagonal/>
    </border>
    <border>
      <left/>
      <right style="medium">
        <color rgb="FF000000"/>
      </right>
      <top/>
      <bottom/>
      <diagonal/>
    </border>
    <border>
      <left/>
      <right/>
      <top/>
      <bottom/>
      <diagonal/>
    </border>
    <border>
      <left style="medium">
        <color rgb="FF000000"/>
      </left>
      <right/>
      <top/>
      <bottom style="medium">
        <color rgb="FF000000"/>
      </bottom>
      <diagonal/>
    </border>
    <border>
      <left/>
      <right/>
      <top/>
      <bottom style="medium">
        <color rgb="FF000000"/>
      </bottom>
      <diagonal/>
    </border>
    <border>
      <left/>
      <right style="medium">
        <color rgb="FF000000"/>
      </right>
      <top/>
      <bottom style="medium">
        <color rgb="FF000000"/>
      </bottom>
      <diagonal/>
    </border>
    <border>
      <left/>
      <right/>
      <top/>
      <bottom style="medium">
        <color rgb="FF000000"/>
      </bottom>
      <diagonal/>
    </border>
    <border>
      <left/>
      <right style="medium">
        <color rgb="FF000000"/>
      </right>
      <top style="medium">
        <color rgb="FF000000"/>
      </top>
      <bottom style="thin">
        <color rgb="FF000000"/>
      </bottom>
      <diagonal/>
    </border>
    <border>
      <left style="thin">
        <color rgb="FF000000"/>
      </left>
      <right/>
      <top/>
      <bottom/>
      <diagonal/>
    </border>
    <border>
      <left/>
      <right/>
      <top/>
      <bottom/>
      <diagonal/>
    </border>
    <border>
      <left/>
      <right style="thin">
        <color rgb="FF000000"/>
      </right>
      <top/>
      <bottom/>
      <diagonal/>
    </border>
    <border>
      <left/>
      <right style="thin">
        <color rgb="FF000000"/>
      </right>
      <top/>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right style="medium">
        <color rgb="FF000000"/>
      </right>
      <top style="medium">
        <color rgb="FF000000"/>
      </top>
      <bottom style="medium">
        <color rgb="FF000000"/>
      </bottom>
      <diagonal/>
    </border>
    <border>
      <left/>
      <right style="medium">
        <color rgb="FF000000"/>
      </right>
      <top style="medium">
        <color rgb="FF000000"/>
      </top>
      <bottom style="medium">
        <color rgb="FF000000"/>
      </bottom>
      <diagonal/>
    </border>
    <border>
      <left/>
      <right/>
      <top style="medium">
        <color rgb="FF000000"/>
      </top>
      <bottom style="medium">
        <color rgb="FF000000"/>
      </bottom>
      <diagonal/>
    </border>
  </borders>
  <cellStyleXfs count="1">
    <xf numFmtId="0" fontId="0" fillId="0" borderId="0"/>
  </cellStyleXfs>
  <cellXfs count="164">
    <xf numFmtId="0" fontId="0" fillId="0" borderId="0" xfId="0"/>
    <xf numFmtId="4" fontId="2" fillId="2" borderId="0" xfId="0" applyNumberFormat="1" applyFont="1" applyFill="1" applyAlignment="1">
      <alignment horizontal="right" vertical="center"/>
    </xf>
    <xf numFmtId="0" fontId="3" fillId="0" borderId="5" xfId="0" applyFont="1" applyBorder="1" applyAlignment="1">
      <alignment horizontal="left" vertical="center"/>
    </xf>
    <xf numFmtId="0" fontId="3" fillId="0" borderId="0" xfId="0" applyFont="1" applyAlignment="1">
      <alignment horizontal="left" vertical="center"/>
    </xf>
    <xf numFmtId="0" fontId="2" fillId="0" borderId="0" xfId="0" applyFont="1" applyAlignment="1">
      <alignment horizontal="left" vertical="center"/>
    </xf>
    <xf numFmtId="0" fontId="2" fillId="0" borderId="10" xfId="0" applyFont="1" applyBorder="1" applyAlignment="1">
      <alignment horizontal="left" vertical="center"/>
    </xf>
    <xf numFmtId="0" fontId="2" fillId="0" borderId="11" xfId="0" applyFont="1" applyBorder="1" applyAlignment="1">
      <alignment horizontal="left" vertical="center"/>
    </xf>
    <xf numFmtId="0" fontId="2" fillId="0" borderId="11" xfId="0" applyFont="1" applyBorder="1" applyAlignment="1">
      <alignment horizontal="center" vertical="center"/>
    </xf>
    <xf numFmtId="0" fontId="2" fillId="0" borderId="14" xfId="0" applyFont="1" applyBorder="1" applyAlignment="1">
      <alignment horizontal="center" vertical="center"/>
    </xf>
    <xf numFmtId="0" fontId="2" fillId="0" borderId="18" xfId="0" applyFont="1" applyBorder="1" applyAlignment="1">
      <alignment horizontal="center" vertical="center"/>
    </xf>
    <xf numFmtId="0" fontId="2" fillId="2" borderId="0" xfId="0" applyFont="1" applyFill="1" applyAlignment="1">
      <alignment horizontal="right" vertical="center"/>
    </xf>
    <xf numFmtId="0" fontId="2" fillId="0" borderId="0" xfId="0" applyFont="1" applyAlignment="1">
      <alignment horizontal="right" vertical="center"/>
    </xf>
    <xf numFmtId="0" fontId="3" fillId="0" borderId="19" xfId="0" applyFont="1" applyBorder="1" applyAlignment="1">
      <alignment horizontal="left" vertical="center"/>
    </xf>
    <xf numFmtId="0" fontId="3" fillId="0" borderId="20" xfId="0" applyFont="1" applyBorder="1" applyAlignment="1">
      <alignment horizontal="left" vertical="center"/>
    </xf>
    <xf numFmtId="0" fontId="2" fillId="0" borderId="23" xfId="0" applyFont="1" applyBorder="1" applyAlignment="1">
      <alignment horizontal="center" vertical="center"/>
    </xf>
    <xf numFmtId="0" fontId="2" fillId="0" borderId="24" xfId="0" applyFont="1" applyBorder="1" applyAlignment="1">
      <alignment horizontal="center" vertical="center"/>
    </xf>
    <xf numFmtId="0" fontId="2" fillId="0" borderId="25" xfId="0" applyFont="1" applyBorder="1" applyAlignment="1">
      <alignment horizontal="center" vertical="center"/>
    </xf>
    <xf numFmtId="0" fontId="2" fillId="0" borderId="26" xfId="0" applyFont="1" applyBorder="1" applyAlignment="1">
      <alignment horizontal="center" vertical="center"/>
    </xf>
    <xf numFmtId="0" fontId="2" fillId="0" borderId="27" xfId="0" applyFont="1" applyBorder="1" applyAlignment="1">
      <alignment horizontal="center" vertical="center"/>
    </xf>
    <xf numFmtId="0" fontId="3" fillId="2" borderId="28" xfId="0" applyFont="1" applyFill="1" applyBorder="1" applyAlignment="1">
      <alignment horizontal="left" vertical="center"/>
    </xf>
    <xf numFmtId="0" fontId="2" fillId="2" borderId="29" xfId="0" applyFont="1" applyFill="1" applyBorder="1" applyAlignment="1">
      <alignment horizontal="left" vertical="center"/>
    </xf>
    <xf numFmtId="0" fontId="3" fillId="2" borderId="29" xfId="0" applyFont="1" applyFill="1" applyBorder="1" applyAlignment="1">
      <alignment horizontal="left" vertical="center"/>
    </xf>
    <xf numFmtId="4" fontId="2" fillId="2" borderId="29" xfId="0" applyNumberFormat="1" applyFont="1" applyFill="1" applyBorder="1" applyAlignment="1">
      <alignment horizontal="right" vertical="center"/>
    </xf>
    <xf numFmtId="0" fontId="2" fillId="2" borderId="30" xfId="0" applyFont="1" applyFill="1" applyBorder="1" applyAlignment="1">
      <alignment horizontal="right" vertical="center"/>
    </xf>
    <xf numFmtId="0" fontId="3" fillId="2" borderId="5" xfId="0" applyFont="1" applyFill="1" applyBorder="1" applyAlignment="1">
      <alignment horizontal="left" vertical="center"/>
    </xf>
    <xf numFmtId="0" fontId="2" fillId="2" borderId="0" xfId="0" applyFont="1" applyFill="1" applyAlignment="1">
      <alignment horizontal="left" vertical="center"/>
    </xf>
    <xf numFmtId="0" fontId="3" fillId="2" borderId="0" xfId="0" applyFont="1" applyFill="1" applyAlignment="1">
      <alignment horizontal="left" vertical="center"/>
    </xf>
    <xf numFmtId="0" fontId="2" fillId="2" borderId="6" xfId="0" applyFont="1" applyFill="1" applyBorder="1" applyAlignment="1">
      <alignment horizontal="right" vertical="center"/>
    </xf>
    <xf numFmtId="4" fontId="3" fillId="0" borderId="0" xfId="0" applyNumberFormat="1" applyFont="1" applyAlignment="1">
      <alignment horizontal="right" vertical="center"/>
    </xf>
    <xf numFmtId="0" fontId="3" fillId="0" borderId="6" xfId="0" applyFont="1" applyBorder="1" applyAlignment="1">
      <alignment horizontal="right" vertical="center"/>
    </xf>
    <xf numFmtId="0" fontId="3" fillId="0" borderId="0" xfId="0" applyFont="1" applyAlignment="1">
      <alignment horizontal="right" vertical="center"/>
    </xf>
    <xf numFmtId="0" fontId="0" fillId="0" borderId="5" xfId="0" applyBorder="1"/>
    <xf numFmtId="0" fontId="4" fillId="0" borderId="0" xfId="0" applyFont="1" applyAlignment="1">
      <alignment horizontal="left" vertical="center"/>
    </xf>
    <xf numFmtId="4" fontId="4" fillId="0" borderId="0" xfId="0" applyNumberFormat="1" applyFont="1" applyAlignment="1">
      <alignment horizontal="right" vertical="center"/>
    </xf>
    <xf numFmtId="0" fontId="0" fillId="0" borderId="6" xfId="0" applyBorder="1"/>
    <xf numFmtId="0" fontId="3" fillId="0" borderId="31" xfId="0" applyFont="1" applyBorder="1" applyAlignment="1">
      <alignment horizontal="left" vertical="center"/>
    </xf>
    <xf numFmtId="0" fontId="3" fillId="0" borderId="32" xfId="0" applyFont="1" applyBorder="1" applyAlignment="1">
      <alignment horizontal="left" vertical="center"/>
    </xf>
    <xf numFmtId="4" fontId="3" fillId="0" borderId="32" xfId="0" applyNumberFormat="1" applyFont="1" applyBorder="1" applyAlignment="1">
      <alignment horizontal="right" vertical="center"/>
    </xf>
    <xf numFmtId="0" fontId="3" fillId="0" borderId="33" xfId="0" applyFont="1" applyBorder="1" applyAlignment="1">
      <alignment horizontal="right" vertical="center"/>
    </xf>
    <xf numFmtId="4" fontId="2" fillId="0" borderId="34" xfId="0" applyNumberFormat="1" applyFont="1" applyBorder="1" applyAlignment="1">
      <alignment horizontal="right" vertical="center"/>
    </xf>
    <xf numFmtId="0" fontId="5" fillId="0" borderId="0" xfId="0" applyFont="1" applyAlignment="1">
      <alignment horizontal="left" vertical="center"/>
    </xf>
    <xf numFmtId="0" fontId="2" fillId="0" borderId="35" xfId="0" applyFont="1" applyBorder="1" applyAlignment="1">
      <alignment horizontal="left" vertical="center"/>
    </xf>
    <xf numFmtId="0" fontId="2" fillId="0" borderId="36" xfId="0" applyFont="1" applyBorder="1" applyAlignment="1">
      <alignment horizontal="left" vertical="center"/>
    </xf>
    <xf numFmtId="0" fontId="2" fillId="0" borderId="37" xfId="0" applyFont="1" applyBorder="1" applyAlignment="1">
      <alignment horizontal="left" vertical="center"/>
    </xf>
    <xf numFmtId="0" fontId="2" fillId="0" borderId="38" xfId="0" applyFont="1" applyBorder="1" applyAlignment="1">
      <alignment horizontal="center" vertical="center"/>
    </xf>
    <xf numFmtId="0" fontId="2" fillId="0" borderId="39" xfId="0" applyFont="1" applyBorder="1" applyAlignment="1">
      <alignment horizontal="center" vertical="center"/>
    </xf>
    <xf numFmtId="4" fontId="2" fillId="0" borderId="0" xfId="0" applyNumberFormat="1" applyFont="1" applyAlignment="1">
      <alignment horizontal="right" vertical="center"/>
    </xf>
    <xf numFmtId="0" fontId="7" fillId="2" borderId="41" xfId="0" applyFont="1" applyFill="1" applyBorder="1" applyAlignment="1">
      <alignment horizontal="center" vertical="center"/>
    </xf>
    <xf numFmtId="0" fontId="7" fillId="2" borderId="44" xfId="0" applyFont="1" applyFill="1" applyBorder="1" applyAlignment="1">
      <alignment horizontal="center" vertical="center"/>
    </xf>
    <xf numFmtId="0" fontId="9" fillId="0" borderId="45" xfId="0" applyFont="1" applyBorder="1" applyAlignment="1">
      <alignment horizontal="left" vertical="center"/>
    </xf>
    <xf numFmtId="0" fontId="10" fillId="0" borderId="46" xfId="0" applyFont="1" applyBorder="1" applyAlignment="1">
      <alignment horizontal="left" vertical="center"/>
    </xf>
    <xf numFmtId="4" fontId="10" fillId="0" borderId="46" xfId="0" applyNumberFormat="1" applyFont="1" applyBorder="1" applyAlignment="1">
      <alignment horizontal="right" vertical="center"/>
    </xf>
    <xf numFmtId="0" fontId="10" fillId="0" borderId="46" xfId="0" applyFont="1" applyBorder="1" applyAlignment="1">
      <alignment horizontal="right" vertical="center"/>
    </xf>
    <xf numFmtId="0" fontId="9" fillId="0" borderId="49" xfId="0" applyFont="1" applyBorder="1" applyAlignment="1">
      <alignment horizontal="left" vertical="center"/>
    </xf>
    <xf numFmtId="4" fontId="10" fillId="0" borderId="53" xfId="0" applyNumberFormat="1" applyFont="1" applyBorder="1" applyAlignment="1">
      <alignment horizontal="right" vertical="center"/>
    </xf>
    <xf numFmtId="0" fontId="10" fillId="0" borderId="53" xfId="0" applyFont="1" applyBorder="1" applyAlignment="1">
      <alignment horizontal="right" vertical="center"/>
    </xf>
    <xf numFmtId="4" fontId="10" fillId="0" borderId="44" xfId="0" applyNumberFormat="1" applyFont="1" applyBorder="1" applyAlignment="1">
      <alignment horizontal="right" vertical="center"/>
    </xf>
    <xf numFmtId="4" fontId="10" fillId="0" borderId="25" xfId="0" applyNumberFormat="1" applyFont="1" applyBorder="1" applyAlignment="1">
      <alignment horizontal="right" vertical="center"/>
    </xf>
    <xf numFmtId="4" fontId="9" fillId="2" borderId="43" xfId="0" applyNumberFormat="1" applyFont="1" applyFill="1" applyBorder="1" applyAlignment="1">
      <alignment horizontal="right" vertical="center"/>
    </xf>
    <xf numFmtId="4" fontId="9" fillId="2" borderId="48" xfId="0" applyNumberFormat="1" applyFont="1" applyFill="1" applyBorder="1" applyAlignment="1">
      <alignment horizontal="right" vertical="center"/>
    </xf>
    <xf numFmtId="0" fontId="5" fillId="0" borderId="29" xfId="0" applyFont="1" applyBorder="1" applyAlignment="1">
      <alignment horizontal="left" vertical="center"/>
    </xf>
    <xf numFmtId="0" fontId="2" fillId="0" borderId="69" xfId="0" applyFont="1" applyBorder="1" applyAlignment="1">
      <alignment horizontal="right" vertical="center"/>
    </xf>
    <xf numFmtId="4" fontId="3" fillId="0" borderId="46" xfId="0" applyNumberFormat="1" applyFont="1" applyBorder="1" applyAlignment="1">
      <alignment horizontal="right" vertical="center"/>
    </xf>
    <xf numFmtId="0" fontId="3" fillId="0" borderId="46" xfId="0" applyFont="1" applyBorder="1" applyAlignment="1">
      <alignment horizontal="left" vertical="center"/>
    </xf>
    <xf numFmtId="4" fontId="3" fillId="0" borderId="73" xfId="0" applyNumberFormat="1" applyFont="1" applyBorder="1" applyAlignment="1">
      <alignment horizontal="right" vertical="center"/>
    </xf>
    <xf numFmtId="0" fontId="3" fillId="0" borderId="73" xfId="0" applyFont="1" applyBorder="1" applyAlignment="1">
      <alignment horizontal="left" vertical="center"/>
    </xf>
    <xf numFmtId="0" fontId="2" fillId="0" borderId="77" xfId="0" applyFont="1" applyBorder="1" applyAlignment="1">
      <alignment horizontal="left" vertical="center"/>
    </xf>
    <xf numFmtId="0" fontId="2" fillId="0" borderId="77" xfId="0" applyFont="1" applyBorder="1" applyAlignment="1">
      <alignment horizontal="right" vertical="center"/>
    </xf>
    <xf numFmtId="4" fontId="2" fillId="0" borderId="77" xfId="0" applyNumberFormat="1" applyFont="1" applyBorder="1" applyAlignment="1">
      <alignment horizontal="right" vertical="center"/>
    </xf>
    <xf numFmtId="0" fontId="11" fillId="0" borderId="28" xfId="0" applyFont="1" applyBorder="1" applyAlignment="1">
      <alignment horizontal="left" vertical="center"/>
    </xf>
    <xf numFmtId="0" fontId="11" fillId="0" borderId="29" xfId="0" applyFont="1" applyBorder="1" applyAlignment="1">
      <alignment horizontal="left" vertical="center"/>
    </xf>
    <xf numFmtId="0" fontId="11" fillId="0" borderId="0" xfId="0" applyFont="1" applyAlignment="1">
      <alignment horizontal="left" vertical="center"/>
    </xf>
    <xf numFmtId="4" fontId="11" fillId="0" borderId="29" xfId="0" applyNumberFormat="1" applyFont="1" applyBorder="1" applyAlignment="1">
      <alignment horizontal="right" vertical="center"/>
    </xf>
    <xf numFmtId="0" fontId="11" fillId="0" borderId="5" xfId="0" applyFont="1" applyBorder="1" applyAlignment="1">
      <alignment horizontal="left" vertical="center"/>
    </xf>
    <xf numFmtId="4" fontId="11" fillId="0" borderId="0" xfId="0" applyNumberFormat="1" applyFont="1" applyAlignment="1">
      <alignment horizontal="right" vertical="center"/>
    </xf>
    <xf numFmtId="0" fontId="1" fillId="0" borderId="1" xfId="0" applyFont="1" applyBorder="1" applyAlignment="1">
      <alignment horizontal="center" vertical="center" wrapText="1"/>
    </xf>
    <xf numFmtId="0" fontId="1" fillId="0" borderId="1" xfId="0" applyFont="1" applyBorder="1" applyAlignment="1">
      <alignment horizontal="center" vertical="center"/>
    </xf>
    <xf numFmtId="0" fontId="3" fillId="0" borderId="2" xfId="0" applyFont="1" applyBorder="1" applyAlignment="1">
      <alignment horizontal="left" vertical="center" wrapText="1"/>
    </xf>
    <xf numFmtId="0" fontId="3" fillId="0" borderId="3" xfId="0" applyFont="1" applyBorder="1" applyAlignment="1">
      <alignment horizontal="left" vertical="center"/>
    </xf>
    <xf numFmtId="0" fontId="3" fillId="0" borderId="5" xfId="0" applyFont="1" applyBorder="1" applyAlignment="1">
      <alignment horizontal="left" vertical="center"/>
    </xf>
    <xf numFmtId="0" fontId="3" fillId="0" borderId="0" xfId="0" applyFont="1" applyAlignment="1">
      <alignment horizontal="left" vertical="center"/>
    </xf>
    <xf numFmtId="0" fontId="3" fillId="0" borderId="5" xfId="0" applyFont="1" applyBorder="1" applyAlignment="1">
      <alignment horizontal="left" vertical="center" wrapText="1"/>
    </xf>
    <xf numFmtId="0" fontId="3" fillId="0" borderId="3" xfId="0" applyFont="1" applyBorder="1" applyAlignment="1">
      <alignment horizontal="left" vertical="center" wrapText="1"/>
    </xf>
    <xf numFmtId="0" fontId="3" fillId="0" borderId="0" xfId="0" applyFont="1" applyAlignment="1">
      <alignment horizontal="left" vertical="center" wrapText="1"/>
    </xf>
    <xf numFmtId="0" fontId="3" fillId="0" borderId="4" xfId="0" applyFont="1" applyBorder="1" applyAlignment="1">
      <alignment horizontal="left" vertical="center"/>
    </xf>
    <xf numFmtId="0" fontId="3" fillId="0" borderId="6" xfId="0" applyFont="1" applyBorder="1" applyAlignment="1">
      <alignment horizontal="left" vertical="center"/>
    </xf>
    <xf numFmtId="1" fontId="3" fillId="0" borderId="6" xfId="0" applyNumberFormat="1" applyFont="1" applyBorder="1" applyAlignment="1">
      <alignment horizontal="left" vertical="center"/>
    </xf>
    <xf numFmtId="0" fontId="2" fillId="0" borderId="3" xfId="0" applyFont="1" applyBorder="1" applyAlignment="1">
      <alignment horizontal="left" vertical="center" wrapText="1"/>
    </xf>
    <xf numFmtId="0" fontId="2" fillId="0" borderId="3" xfId="0" applyFont="1" applyBorder="1" applyAlignment="1">
      <alignment horizontal="left" vertical="center"/>
    </xf>
    <xf numFmtId="0" fontId="2" fillId="0" borderId="0" xfId="0" applyFont="1" applyAlignment="1">
      <alignment horizontal="left" vertical="center"/>
    </xf>
    <xf numFmtId="0" fontId="3" fillId="0" borderId="32" xfId="0" applyFont="1" applyBorder="1" applyAlignment="1">
      <alignment horizontal="left" vertical="center"/>
    </xf>
    <xf numFmtId="0" fontId="3" fillId="0" borderId="6" xfId="0" applyFont="1" applyBorder="1" applyAlignment="1">
      <alignment horizontal="left" vertical="center" wrapText="1"/>
    </xf>
    <xf numFmtId="0" fontId="3" fillId="0" borderId="33" xfId="0" applyFont="1" applyBorder="1" applyAlignment="1">
      <alignment horizontal="left" vertical="center"/>
    </xf>
    <xf numFmtId="0" fontId="6" fillId="0" borderId="40" xfId="0" applyFont="1" applyBorder="1" applyAlignment="1">
      <alignment horizontal="center" vertical="center"/>
    </xf>
    <xf numFmtId="0" fontId="8" fillId="0" borderId="42" xfId="0" applyFont="1" applyBorder="1" applyAlignment="1">
      <alignment horizontal="left" vertical="center"/>
    </xf>
    <xf numFmtId="0" fontId="8" fillId="0" borderId="43" xfId="0" applyFont="1" applyBorder="1" applyAlignment="1">
      <alignment horizontal="left" vertical="center"/>
    </xf>
    <xf numFmtId="0" fontId="3" fillId="0" borderId="31" xfId="0" applyFont="1" applyBorder="1" applyAlignment="1">
      <alignment horizontal="left" vertical="center"/>
    </xf>
    <xf numFmtId="0" fontId="9" fillId="0" borderId="50" xfId="0" applyFont="1" applyBorder="1" applyAlignment="1">
      <alignment horizontal="left" vertical="center"/>
    </xf>
    <xf numFmtId="0" fontId="9" fillId="0" borderId="48" xfId="0" applyFont="1" applyBorder="1" applyAlignment="1">
      <alignment horizontal="left" vertical="center"/>
    </xf>
    <xf numFmtId="0" fontId="9" fillId="0" borderId="51" xfId="0" applyFont="1" applyBorder="1" applyAlignment="1">
      <alignment horizontal="left" vertical="center"/>
    </xf>
    <xf numFmtId="0" fontId="9" fillId="0" borderId="52" xfId="0" applyFont="1" applyBorder="1" applyAlignment="1">
      <alignment horizontal="left" vertical="center"/>
    </xf>
    <xf numFmtId="0" fontId="9" fillId="0" borderId="55" xfId="0" applyFont="1" applyBorder="1" applyAlignment="1">
      <alignment horizontal="left" vertical="center"/>
    </xf>
    <xf numFmtId="0" fontId="9" fillId="0" borderId="43" xfId="0" applyFont="1" applyBorder="1" applyAlignment="1">
      <alignment horizontal="left" vertical="center"/>
    </xf>
    <xf numFmtId="0" fontId="10" fillId="0" borderId="47" xfId="0" applyFont="1" applyBorder="1" applyAlignment="1">
      <alignment horizontal="left" vertical="center"/>
    </xf>
    <xf numFmtId="0" fontId="10" fillId="0" borderId="48" xfId="0" applyFont="1" applyBorder="1" applyAlignment="1">
      <alignment horizontal="left" vertical="center"/>
    </xf>
    <xf numFmtId="0" fontId="10" fillId="0" borderId="54" xfId="0" applyFont="1" applyBorder="1" applyAlignment="1">
      <alignment horizontal="left" vertical="center"/>
    </xf>
    <xf numFmtId="0" fontId="10" fillId="0" borderId="52" xfId="0" applyFont="1" applyBorder="1" applyAlignment="1">
      <alignment horizontal="left" vertical="center"/>
    </xf>
    <xf numFmtId="0" fontId="9" fillId="0" borderId="42" xfId="0" applyFont="1" applyBorder="1" applyAlignment="1">
      <alignment horizontal="left" vertical="center"/>
    </xf>
    <xf numFmtId="0" fontId="9" fillId="0" borderId="47" xfId="0" applyFont="1" applyBorder="1" applyAlignment="1">
      <alignment horizontal="left" vertical="center"/>
    </xf>
    <xf numFmtId="0" fontId="9" fillId="2" borderId="55" xfId="0" applyFont="1" applyFill="1" applyBorder="1" applyAlignment="1">
      <alignment horizontal="left" vertical="center"/>
    </xf>
    <xf numFmtId="0" fontId="9" fillId="2" borderId="56" xfId="0" applyFont="1" applyFill="1" applyBorder="1" applyAlignment="1">
      <alignment horizontal="left" vertical="center"/>
    </xf>
    <xf numFmtId="0" fontId="9" fillId="2" borderId="50" xfId="0" applyFont="1" applyFill="1" applyBorder="1" applyAlignment="1">
      <alignment horizontal="left" vertical="center"/>
    </xf>
    <xf numFmtId="0" fontId="9" fillId="2" borderId="57" xfId="0" applyFont="1" applyFill="1" applyBorder="1" applyAlignment="1">
      <alignment horizontal="left" vertical="center"/>
    </xf>
    <xf numFmtId="0" fontId="9" fillId="2" borderId="42" xfId="0" applyFont="1" applyFill="1" applyBorder="1" applyAlignment="1">
      <alignment horizontal="left" vertical="center"/>
    </xf>
    <xf numFmtId="0" fontId="9" fillId="2" borderId="47" xfId="0" applyFont="1" applyFill="1" applyBorder="1" applyAlignment="1">
      <alignment horizontal="left" vertical="center"/>
    </xf>
    <xf numFmtId="0" fontId="10" fillId="0" borderId="61" xfId="0" applyFont="1" applyBorder="1" applyAlignment="1">
      <alignment horizontal="left" vertical="center"/>
    </xf>
    <xf numFmtId="0" fontId="10" fillId="0" borderId="59" xfId="0" applyFont="1" applyBorder="1" applyAlignment="1">
      <alignment horizontal="left" vertical="center"/>
    </xf>
    <xf numFmtId="0" fontId="10" fillId="0" borderId="60" xfId="0" applyFont="1" applyBorder="1" applyAlignment="1">
      <alignment horizontal="left" vertical="center"/>
    </xf>
    <xf numFmtId="0" fontId="10" fillId="0" borderId="64" xfId="0" applyFont="1" applyBorder="1" applyAlignment="1">
      <alignment horizontal="left" vertical="center"/>
    </xf>
    <xf numFmtId="0" fontId="10" fillId="0" borderId="0" xfId="0" applyFont="1" applyAlignment="1">
      <alignment horizontal="left" vertical="center"/>
    </xf>
    <xf numFmtId="0" fontId="10" fillId="0" borderId="63" xfId="0" applyFont="1" applyBorder="1" applyAlignment="1">
      <alignment horizontal="left" vertical="center"/>
    </xf>
    <xf numFmtId="0" fontId="10" fillId="0" borderId="68" xfId="0" applyFont="1" applyBorder="1" applyAlignment="1">
      <alignment horizontal="left" vertical="center"/>
    </xf>
    <xf numFmtId="0" fontId="10" fillId="0" borderId="66" xfId="0" applyFont="1" applyBorder="1" applyAlignment="1">
      <alignment horizontal="left" vertical="center"/>
    </xf>
    <xf numFmtId="0" fontId="10" fillId="0" borderId="67" xfId="0" applyFont="1" applyBorder="1" applyAlignment="1">
      <alignment horizontal="left" vertical="center"/>
    </xf>
    <xf numFmtId="0" fontId="10" fillId="0" borderId="58" xfId="0" applyFont="1" applyBorder="1" applyAlignment="1">
      <alignment horizontal="left" vertical="center"/>
    </xf>
    <xf numFmtId="0" fontId="10" fillId="0" borderId="62" xfId="0" applyFont="1" applyBorder="1" applyAlignment="1">
      <alignment horizontal="left" vertical="center"/>
    </xf>
    <xf numFmtId="0" fontId="10" fillId="0" borderId="65" xfId="0" applyFont="1" applyBorder="1" applyAlignment="1">
      <alignment horizontal="left" vertical="center"/>
    </xf>
    <xf numFmtId="0" fontId="3" fillId="0" borderId="7" xfId="0" applyFont="1" applyBorder="1" applyAlignment="1">
      <alignment horizontal="left" vertical="center"/>
    </xf>
    <xf numFmtId="0" fontId="3" fillId="0" borderId="8" xfId="0" applyFont="1" applyBorder="1" applyAlignment="1">
      <alignment horizontal="left" vertical="center"/>
    </xf>
    <xf numFmtId="0" fontId="3" fillId="0" borderId="4" xfId="0" applyFont="1" applyBorder="1" applyAlignment="1">
      <alignment horizontal="left" vertical="center" wrapText="1"/>
    </xf>
    <xf numFmtId="0" fontId="3" fillId="0" borderId="9" xfId="0" applyFont="1" applyBorder="1" applyAlignment="1">
      <alignment horizontal="left" vertical="center"/>
    </xf>
    <xf numFmtId="0" fontId="11" fillId="0" borderId="0" xfId="0" applyFont="1" applyAlignment="1">
      <alignment horizontal="left" vertical="center"/>
    </xf>
    <xf numFmtId="0" fontId="2" fillId="0" borderId="21" xfId="0" applyFont="1" applyBorder="1" applyAlignment="1">
      <alignment horizontal="left" vertical="center"/>
    </xf>
    <xf numFmtId="0" fontId="2" fillId="0" borderId="22" xfId="0" applyFont="1" applyBorder="1" applyAlignment="1">
      <alignment horizontal="left" vertical="center"/>
    </xf>
    <xf numFmtId="0" fontId="2" fillId="0" borderId="15" xfId="0" applyFont="1" applyBorder="1" applyAlignment="1">
      <alignment horizontal="center" vertical="center"/>
    </xf>
    <xf numFmtId="0" fontId="2" fillId="0" borderId="16" xfId="0" applyFont="1" applyBorder="1" applyAlignment="1">
      <alignment horizontal="center" vertical="center"/>
    </xf>
    <xf numFmtId="0" fontId="2" fillId="0" borderId="17" xfId="0" applyFont="1" applyBorder="1" applyAlignment="1">
      <alignment horizontal="center" vertical="center"/>
    </xf>
    <xf numFmtId="0" fontId="2" fillId="2" borderId="29" xfId="0" applyFont="1" applyFill="1" applyBorder="1" applyAlignment="1">
      <alignment horizontal="left" vertical="center" wrapText="1"/>
    </xf>
    <xf numFmtId="0" fontId="2" fillId="2" borderId="29" xfId="0" applyFont="1" applyFill="1" applyBorder="1" applyAlignment="1">
      <alignment horizontal="left" vertical="center"/>
    </xf>
    <xf numFmtId="0" fontId="2" fillId="2" borderId="0" xfId="0" applyFont="1" applyFill="1" applyAlignment="1">
      <alignment horizontal="left" vertical="center" wrapText="1"/>
    </xf>
    <xf numFmtId="0" fontId="2" fillId="2" borderId="0" xfId="0" applyFont="1" applyFill="1" applyAlignment="1">
      <alignment horizontal="left" vertical="center"/>
    </xf>
    <xf numFmtId="0" fontId="2" fillId="0" borderId="12" xfId="0" applyFont="1" applyBorder="1" applyAlignment="1">
      <alignment horizontal="left" vertical="center"/>
    </xf>
    <xf numFmtId="0" fontId="2" fillId="0" borderId="13" xfId="0" applyFont="1" applyBorder="1" applyAlignment="1">
      <alignment horizontal="left" vertical="center"/>
    </xf>
    <xf numFmtId="0" fontId="3" fillId="0" borderId="32" xfId="0" applyFont="1" applyBorder="1" applyAlignment="1">
      <alignment horizontal="left" vertical="center" wrapText="1"/>
    </xf>
    <xf numFmtId="0" fontId="2" fillId="0" borderId="34" xfId="0" applyFont="1" applyBorder="1" applyAlignment="1">
      <alignment horizontal="left" vertical="center"/>
    </xf>
    <xf numFmtId="0" fontId="9" fillId="0" borderId="8" xfId="0" applyFont="1" applyBorder="1" applyAlignment="1">
      <alignment horizontal="left" vertical="center"/>
    </xf>
    <xf numFmtId="0" fontId="2" fillId="0" borderId="15" xfId="0" applyFont="1" applyBorder="1" applyAlignment="1">
      <alignment horizontal="left" vertical="center"/>
    </xf>
    <xf numFmtId="0" fontId="2" fillId="0" borderId="16" xfId="0" applyFont="1" applyBorder="1" applyAlignment="1">
      <alignment horizontal="left" vertical="center"/>
    </xf>
    <xf numFmtId="0" fontId="2" fillId="0" borderId="17" xfId="0" applyFont="1" applyBorder="1" applyAlignment="1">
      <alignment horizontal="left" vertical="center"/>
    </xf>
    <xf numFmtId="0" fontId="3" fillId="0" borderId="50" xfId="0" applyFont="1" applyBorder="1" applyAlignment="1">
      <alignment horizontal="left" vertical="center"/>
    </xf>
    <xf numFmtId="0" fontId="3" fillId="0" borderId="57" xfId="0" applyFont="1" applyBorder="1" applyAlignment="1">
      <alignment horizontal="left" vertical="center"/>
    </xf>
    <xf numFmtId="0" fontId="3" fillId="0" borderId="48" xfId="0" applyFont="1" applyBorder="1" applyAlignment="1">
      <alignment horizontal="left" vertical="center"/>
    </xf>
    <xf numFmtId="0" fontId="3" fillId="0" borderId="70" xfId="0" applyFont="1" applyBorder="1" applyAlignment="1">
      <alignment horizontal="left" vertical="center"/>
    </xf>
    <xf numFmtId="0" fontId="3" fillId="0" borderId="71" xfId="0" applyFont="1" applyBorder="1" applyAlignment="1">
      <alignment horizontal="left" vertical="center"/>
    </xf>
    <xf numFmtId="0" fontId="3" fillId="0" borderId="72" xfId="0" applyFont="1" applyBorder="1" applyAlignment="1">
      <alignment horizontal="left" vertical="center"/>
    </xf>
    <xf numFmtId="0" fontId="2" fillId="0" borderId="74" xfId="0" applyFont="1" applyBorder="1" applyAlignment="1">
      <alignment horizontal="left" vertical="center"/>
    </xf>
    <xf numFmtId="0" fontId="2" fillId="0" borderId="75" xfId="0" applyFont="1" applyBorder="1" applyAlignment="1">
      <alignment horizontal="left" vertical="center"/>
    </xf>
    <xf numFmtId="0" fontId="2" fillId="0" borderId="76" xfId="0" applyFont="1" applyBorder="1" applyAlignment="1">
      <alignment horizontal="left" vertical="center"/>
    </xf>
    <xf numFmtId="0" fontId="9" fillId="0" borderId="74" xfId="0" applyFont="1" applyBorder="1" applyAlignment="1">
      <alignment horizontal="left" vertical="center"/>
    </xf>
    <xf numFmtId="0" fontId="9" fillId="0" borderId="75" xfId="0" applyFont="1" applyBorder="1" applyAlignment="1">
      <alignment horizontal="left" vertical="center"/>
    </xf>
    <xf numFmtId="0" fontId="9" fillId="0" borderId="76" xfId="0" applyFont="1" applyBorder="1" applyAlignment="1">
      <alignment horizontal="left" vertical="center"/>
    </xf>
    <xf numFmtId="4" fontId="9" fillId="0" borderId="78" xfId="0" applyNumberFormat="1" applyFont="1" applyBorder="1" applyAlignment="1">
      <alignment horizontal="right" vertical="center"/>
    </xf>
    <xf numFmtId="0" fontId="9" fillId="0" borderId="75" xfId="0" applyFont="1" applyBorder="1" applyAlignment="1">
      <alignment horizontal="right" vertical="center"/>
    </xf>
    <xf numFmtId="0" fontId="9" fillId="0" borderId="76" xfId="0" applyFont="1" applyBorder="1" applyAlignment="1">
      <alignment horizontal="right" vertical="center"/>
    </xf>
  </cellXfs>
  <cellStyles count="1">
    <cellStyle name="Normální"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absoluteAnchor>
    <xdr:pos x="0" y="0"/>
    <xdr:ext cx="666750" cy="666750"/>
    <xdr:pic>
      <xdr:nvPicPr>
        <xdr:cNvPr id="2" name="Obrázek 1">
          <a:extLst>
            <a:ext uri="{FF2B5EF4-FFF2-40B4-BE49-F238E27FC236}">
              <a16:creationId xmlns:a16="http://schemas.microsoft.com/office/drawing/2014/main" id="{00000000-0008-0000-0300-000002000000}"/>
            </a:ext>
          </a:extLst>
        </xdr:cNvPr>
        <xdr:cNvPicPr>
          <a:picLocks noChangeAspect="1"/>
        </xdr:cNvPicPr>
      </xdr:nvPicPr>
      <xdr:blipFill>
        <a:blip xmlns:r="http://schemas.openxmlformats.org/officeDocument/2006/relationships" r:embed="rId1"/>
        <a:stretch>
          <a:fillRect/>
        </a:stretch>
      </xdr:blipFill>
      <xdr:spPr>
        <a:xfrm>
          <a:off x="0" y="0"/>
          <a:ext cx="666750" cy="666750"/>
        </a:xfrm>
        <a:prstGeom prst="rect">
          <a:avLst/>
        </a:prstGeom>
        <a:noFill/>
        <a:ln w="9525">
          <a:noFill/>
        </a:ln>
      </xdr:spPr>
    </xdr:pic>
    <xdr:clientData/>
  </xdr:absolute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37"/>
  <sheetViews>
    <sheetView tabSelected="1" workbookViewId="0">
      <selection activeCell="N12" sqref="N12"/>
    </sheetView>
  </sheetViews>
  <sheetFormatPr defaultColWidth="12.140625" defaultRowHeight="15" customHeight="1" x14ac:dyDescent="0.25"/>
  <cols>
    <col min="1" max="1" width="9.140625" customWidth="1"/>
    <col min="2" max="2" width="12.85546875" customWidth="1"/>
    <col min="3" max="3" width="27.140625" customWidth="1"/>
    <col min="4" max="4" width="10" customWidth="1"/>
    <col min="5" max="5" width="14" customWidth="1"/>
    <col min="6" max="6" width="27.140625" customWidth="1"/>
    <col min="7" max="7" width="9.140625" customWidth="1"/>
    <col min="8" max="8" width="12.85546875" customWidth="1"/>
    <col min="9" max="9" width="27.140625" customWidth="1"/>
  </cols>
  <sheetData>
    <row r="1" spans="1:9" ht="54.75" customHeight="1" x14ac:dyDescent="0.25">
      <c r="A1" s="75" t="s">
        <v>2370</v>
      </c>
      <c r="B1" s="76"/>
      <c r="C1" s="76"/>
      <c r="D1" s="76"/>
      <c r="E1" s="76"/>
      <c r="F1" s="76"/>
      <c r="G1" s="76"/>
      <c r="H1" s="76"/>
      <c r="I1" s="76"/>
    </row>
    <row r="2" spans="1:9" x14ac:dyDescent="0.25">
      <c r="A2" s="77" t="s">
        <v>1</v>
      </c>
      <c r="B2" s="78"/>
      <c r="C2" s="87" t="str">
        <f>'Stavební rozpočet'!C2</f>
        <v>"Autodílna - SAKO Brno, a.s., Černovická 15"</v>
      </c>
      <c r="D2" s="88"/>
      <c r="E2" s="82" t="s">
        <v>5</v>
      </c>
      <c r="F2" s="82" t="str">
        <f>'Stavební rozpočet'!I2</f>
        <v>SAKO Brno, a.s., Jedovnická 4247/2, Židenice, 628</v>
      </c>
      <c r="G2" s="78"/>
      <c r="H2" s="82" t="s">
        <v>2371</v>
      </c>
      <c r="I2" s="84" t="s">
        <v>2372</v>
      </c>
    </row>
    <row r="3" spans="1:9" ht="15" customHeight="1" x14ac:dyDescent="0.25">
      <c r="A3" s="79"/>
      <c r="B3" s="80"/>
      <c r="C3" s="89"/>
      <c r="D3" s="89"/>
      <c r="E3" s="80"/>
      <c r="F3" s="80"/>
      <c r="G3" s="80"/>
      <c r="H3" s="80"/>
      <c r="I3" s="85"/>
    </row>
    <row r="4" spans="1:9" x14ac:dyDescent="0.25">
      <c r="A4" s="81" t="s">
        <v>7</v>
      </c>
      <c r="B4" s="80"/>
      <c r="C4" s="83" t="str">
        <f>'Stavební rozpočet'!C4</f>
        <v>Skladovací hala - autodílna</v>
      </c>
      <c r="D4" s="80"/>
      <c r="E4" s="83" t="s">
        <v>11</v>
      </c>
      <c r="F4" s="83" t="str">
        <f>'Stavební rozpočet'!I4</f>
        <v>GARANT projekt s.r.o.,</v>
      </c>
      <c r="G4" s="80"/>
      <c r="H4" s="83" t="s">
        <v>2371</v>
      </c>
      <c r="I4" s="85" t="s">
        <v>2373</v>
      </c>
    </row>
    <row r="5" spans="1:9" ht="15" customHeight="1" x14ac:dyDescent="0.25">
      <c r="A5" s="79"/>
      <c r="B5" s="80"/>
      <c r="C5" s="80"/>
      <c r="D5" s="80"/>
      <c r="E5" s="80"/>
      <c r="F5" s="80"/>
      <c r="G5" s="80"/>
      <c r="H5" s="80"/>
      <c r="I5" s="85"/>
    </row>
    <row r="6" spans="1:9" x14ac:dyDescent="0.25">
      <c r="A6" s="81" t="s">
        <v>13</v>
      </c>
      <c r="B6" s="80"/>
      <c r="C6" s="83" t="str">
        <f>'Stavební rozpočet'!C6</f>
        <v>SAKO Brno, Černovická 454/15, Komárov, 617 00 Brno Jih</v>
      </c>
      <c r="D6" s="80"/>
      <c r="E6" s="83" t="s">
        <v>16</v>
      </c>
      <c r="F6" s="83" t="str">
        <f>'Stavební rozpočet'!I6</f>
        <v>-</v>
      </c>
      <c r="G6" s="80"/>
      <c r="H6" s="83" t="s">
        <v>2371</v>
      </c>
      <c r="I6" s="85" t="s">
        <v>52</v>
      </c>
    </row>
    <row r="7" spans="1:9" ht="15" customHeight="1" x14ac:dyDescent="0.25">
      <c r="A7" s="79"/>
      <c r="B7" s="80"/>
      <c r="C7" s="80"/>
      <c r="D7" s="80"/>
      <c r="E7" s="80"/>
      <c r="F7" s="80"/>
      <c r="G7" s="80"/>
      <c r="H7" s="80"/>
      <c r="I7" s="85"/>
    </row>
    <row r="8" spans="1:9" x14ac:dyDescent="0.25">
      <c r="A8" s="81" t="s">
        <v>9</v>
      </c>
      <c r="B8" s="80"/>
      <c r="C8" s="83" t="str">
        <f>'Stavební rozpočet'!G4</f>
        <v>01.10.2024</v>
      </c>
      <c r="D8" s="80"/>
      <c r="E8" s="83" t="s">
        <v>15</v>
      </c>
      <c r="F8" s="83" t="str">
        <f>'Stavební rozpočet'!G6</f>
        <v xml:space="preserve"> </v>
      </c>
      <c r="G8" s="80"/>
      <c r="H8" s="80" t="s">
        <v>2374</v>
      </c>
      <c r="I8" s="86">
        <v>489</v>
      </c>
    </row>
    <row r="9" spans="1:9" x14ac:dyDescent="0.25">
      <c r="A9" s="79"/>
      <c r="B9" s="80"/>
      <c r="C9" s="80"/>
      <c r="D9" s="80"/>
      <c r="E9" s="80"/>
      <c r="F9" s="80"/>
      <c r="G9" s="80"/>
      <c r="H9" s="80"/>
      <c r="I9" s="85"/>
    </row>
    <row r="10" spans="1:9" x14ac:dyDescent="0.25">
      <c r="A10" s="81" t="s">
        <v>18</v>
      </c>
      <c r="B10" s="80"/>
      <c r="C10" s="83" t="str">
        <f>'Stavební rozpočet'!C8</f>
        <v>8115171</v>
      </c>
      <c r="D10" s="80"/>
      <c r="E10" s="83" t="s">
        <v>22</v>
      </c>
      <c r="F10" s="83" t="str">
        <f>'Stavební rozpočet'!I8</f>
        <v>GARANT projekt s.r.o.,</v>
      </c>
      <c r="G10" s="80"/>
      <c r="H10" s="80" t="s">
        <v>2375</v>
      </c>
      <c r="I10" s="91" t="str">
        <f>'Stavební rozpočet'!G8</f>
        <v>20.08.2024</v>
      </c>
    </row>
    <row r="11" spans="1:9" x14ac:dyDescent="0.25">
      <c r="A11" s="96"/>
      <c r="B11" s="90"/>
      <c r="C11" s="90"/>
      <c r="D11" s="90"/>
      <c r="E11" s="90"/>
      <c r="F11" s="90"/>
      <c r="G11" s="90"/>
      <c r="H11" s="90"/>
      <c r="I11" s="92"/>
    </row>
    <row r="12" spans="1:9" ht="23.25" x14ac:dyDescent="0.25">
      <c r="A12" s="93" t="s">
        <v>2376</v>
      </c>
      <c r="B12" s="93"/>
      <c r="C12" s="93"/>
      <c r="D12" s="93"/>
      <c r="E12" s="93"/>
      <c r="F12" s="93"/>
      <c r="G12" s="93"/>
      <c r="H12" s="93"/>
      <c r="I12" s="93"/>
    </row>
    <row r="13" spans="1:9" ht="26.25" customHeight="1" x14ac:dyDescent="0.25">
      <c r="A13" s="47" t="s">
        <v>2377</v>
      </c>
      <c r="B13" s="94" t="s">
        <v>2378</v>
      </c>
      <c r="C13" s="95"/>
      <c r="D13" s="48" t="s">
        <v>2379</v>
      </c>
      <c r="E13" s="94" t="s">
        <v>2380</v>
      </c>
      <c r="F13" s="95"/>
      <c r="G13" s="48" t="s">
        <v>2381</v>
      </c>
      <c r="H13" s="94" t="s">
        <v>2382</v>
      </c>
      <c r="I13" s="95"/>
    </row>
    <row r="14" spans="1:9" ht="15.75" x14ac:dyDescent="0.25">
      <c r="A14" s="49" t="s">
        <v>2383</v>
      </c>
      <c r="B14" s="50" t="s">
        <v>2384</v>
      </c>
      <c r="C14" s="51">
        <f>SUM('Stavební rozpočet'!AB12:AB1239)</f>
        <v>0</v>
      </c>
      <c r="D14" s="103" t="s">
        <v>2385</v>
      </c>
      <c r="E14" s="104"/>
      <c r="F14" s="51">
        <f>VORN!I15</f>
        <v>0</v>
      </c>
      <c r="G14" s="103" t="s">
        <v>2386</v>
      </c>
      <c r="H14" s="104"/>
      <c r="I14" s="52">
        <f>VORN!I21</f>
        <v>0</v>
      </c>
    </row>
    <row r="15" spans="1:9" ht="15.75" x14ac:dyDescent="0.25">
      <c r="A15" s="53" t="s">
        <v>52</v>
      </c>
      <c r="B15" s="50" t="s">
        <v>37</v>
      </c>
      <c r="C15" s="51">
        <f>SUM('Stavební rozpočet'!AC12:AC1239)</f>
        <v>0</v>
      </c>
      <c r="D15" s="103" t="s">
        <v>2387</v>
      </c>
      <c r="E15" s="104"/>
      <c r="F15" s="51">
        <f>VORN!I16</f>
        <v>0</v>
      </c>
      <c r="G15" s="103" t="s">
        <v>2388</v>
      </c>
      <c r="H15" s="104"/>
      <c r="I15" s="52">
        <f>VORN!I22</f>
        <v>0</v>
      </c>
    </row>
    <row r="16" spans="1:9" ht="15.75" x14ac:dyDescent="0.25">
      <c r="A16" s="49" t="s">
        <v>2389</v>
      </c>
      <c r="B16" s="50" t="s">
        <v>2384</v>
      </c>
      <c r="C16" s="51">
        <f>SUM('Stavební rozpočet'!AD12:AD1239)</f>
        <v>0</v>
      </c>
      <c r="D16" s="103" t="s">
        <v>2390</v>
      </c>
      <c r="E16" s="104"/>
      <c r="F16" s="51">
        <f>VORN!I17</f>
        <v>0</v>
      </c>
      <c r="G16" s="103" t="s">
        <v>2391</v>
      </c>
      <c r="H16" s="104"/>
      <c r="I16" s="52">
        <f>VORN!I23</f>
        <v>0</v>
      </c>
    </row>
    <row r="17" spans="1:9" ht="15.75" x14ac:dyDescent="0.25">
      <c r="A17" s="53" t="s">
        <v>52</v>
      </c>
      <c r="B17" s="50" t="s">
        <v>37</v>
      </c>
      <c r="C17" s="51">
        <f>SUM('Stavební rozpočet'!AE12:AE1239)</f>
        <v>0</v>
      </c>
      <c r="D17" s="103" t="s">
        <v>52</v>
      </c>
      <c r="E17" s="104"/>
      <c r="F17" s="52" t="s">
        <v>52</v>
      </c>
      <c r="G17" s="103" t="s">
        <v>2392</v>
      </c>
      <c r="H17" s="104"/>
      <c r="I17" s="52">
        <f>VORN!I24</f>
        <v>0</v>
      </c>
    </row>
    <row r="18" spans="1:9" ht="15.75" x14ac:dyDescent="0.25">
      <c r="A18" s="49" t="s">
        <v>2393</v>
      </c>
      <c r="B18" s="50" t="s">
        <v>2384</v>
      </c>
      <c r="C18" s="51">
        <f>SUM('Stavební rozpočet'!AF12:AF1239)</f>
        <v>0</v>
      </c>
      <c r="D18" s="103" t="s">
        <v>52</v>
      </c>
      <c r="E18" s="104"/>
      <c r="F18" s="52" t="s">
        <v>52</v>
      </c>
      <c r="G18" s="103" t="s">
        <v>1598</v>
      </c>
      <c r="H18" s="104"/>
      <c r="I18" s="52">
        <f>VORN!I25</f>
        <v>0</v>
      </c>
    </row>
    <row r="19" spans="1:9" ht="15.75" x14ac:dyDescent="0.25">
      <c r="A19" s="53" t="s">
        <v>52</v>
      </c>
      <c r="B19" s="50" t="s">
        <v>37</v>
      </c>
      <c r="C19" s="51">
        <f>SUM('Stavební rozpočet'!AG12:AG1239)</f>
        <v>0</v>
      </c>
      <c r="D19" s="103" t="s">
        <v>52</v>
      </c>
      <c r="E19" s="104"/>
      <c r="F19" s="52" t="s">
        <v>52</v>
      </c>
      <c r="G19" s="103" t="s">
        <v>2394</v>
      </c>
      <c r="H19" s="104"/>
      <c r="I19" s="52">
        <f>VORN!I26</f>
        <v>0</v>
      </c>
    </row>
    <row r="20" spans="1:9" ht="15.75" x14ac:dyDescent="0.25">
      <c r="A20" s="97" t="s">
        <v>2395</v>
      </c>
      <c r="B20" s="98"/>
      <c r="C20" s="51">
        <f>SUM('Stavební rozpočet'!AH12:AH1239)</f>
        <v>0</v>
      </c>
      <c r="D20" s="103" t="s">
        <v>52</v>
      </c>
      <c r="E20" s="104"/>
      <c r="F20" s="52" t="s">
        <v>52</v>
      </c>
      <c r="G20" s="103" t="s">
        <v>52</v>
      </c>
      <c r="H20" s="104"/>
      <c r="I20" s="52" t="s">
        <v>52</v>
      </c>
    </row>
    <row r="21" spans="1:9" ht="15.75" x14ac:dyDescent="0.25">
      <c r="A21" s="99" t="s">
        <v>2396</v>
      </c>
      <c r="B21" s="100"/>
      <c r="C21" s="54">
        <f>SUM('Stavební rozpočet'!Z12:Z1239)</f>
        <v>0</v>
      </c>
      <c r="D21" s="105" t="s">
        <v>52</v>
      </c>
      <c r="E21" s="106"/>
      <c r="F21" s="55" t="s">
        <v>52</v>
      </c>
      <c r="G21" s="105" t="s">
        <v>52</v>
      </c>
      <c r="H21" s="106"/>
      <c r="I21" s="55" t="s">
        <v>52</v>
      </c>
    </row>
    <row r="22" spans="1:9" ht="16.5" customHeight="1" x14ac:dyDescent="0.25">
      <c r="A22" s="101" t="s">
        <v>2397</v>
      </c>
      <c r="B22" s="102"/>
      <c r="C22" s="56">
        <f>SUM(C14:C21)</f>
        <v>0</v>
      </c>
      <c r="D22" s="107" t="s">
        <v>2398</v>
      </c>
      <c r="E22" s="102"/>
      <c r="F22" s="56">
        <f>SUM(F14:F21)</f>
        <v>0</v>
      </c>
      <c r="G22" s="107" t="s">
        <v>2399</v>
      </c>
      <c r="H22" s="102"/>
      <c r="I22" s="56">
        <f>SUM(I14:I21)</f>
        <v>0</v>
      </c>
    </row>
    <row r="23" spans="1:9" ht="15.75" x14ac:dyDescent="0.25">
      <c r="D23" s="97" t="s">
        <v>2400</v>
      </c>
      <c r="E23" s="98"/>
      <c r="F23" s="57">
        <v>0</v>
      </c>
      <c r="G23" s="108" t="s">
        <v>2401</v>
      </c>
      <c r="H23" s="98"/>
      <c r="I23" s="51">
        <v>0</v>
      </c>
    </row>
    <row r="24" spans="1:9" ht="15.75" x14ac:dyDescent="0.25">
      <c r="G24" s="97" t="s">
        <v>2402</v>
      </c>
      <c r="H24" s="98"/>
      <c r="I24" s="54">
        <f>vorn_sum</f>
        <v>0</v>
      </c>
    </row>
    <row r="25" spans="1:9" ht="15.75" x14ac:dyDescent="0.25">
      <c r="G25" s="97" t="s">
        <v>2403</v>
      </c>
      <c r="H25" s="98"/>
      <c r="I25" s="56">
        <v>0</v>
      </c>
    </row>
    <row r="27" spans="1:9" ht="15.75" x14ac:dyDescent="0.25">
      <c r="A27" s="109" t="s">
        <v>2404</v>
      </c>
      <c r="B27" s="110"/>
      <c r="C27" s="58">
        <f>SUM('Stavební rozpočet'!AJ12:AJ1239)</f>
        <v>0</v>
      </c>
    </row>
    <row r="28" spans="1:9" ht="15.75" x14ac:dyDescent="0.25">
      <c r="A28" s="111" t="s">
        <v>2405</v>
      </c>
      <c r="B28" s="112"/>
      <c r="C28" s="59">
        <f>SUM('Stavební rozpočet'!AK12:AK1239)</f>
        <v>0</v>
      </c>
      <c r="D28" s="113" t="s">
        <v>2406</v>
      </c>
      <c r="E28" s="110"/>
      <c r="F28" s="58">
        <f>ROUND(C28*(12/100),2)</f>
        <v>0</v>
      </c>
      <c r="G28" s="113" t="s">
        <v>2407</v>
      </c>
      <c r="H28" s="110"/>
      <c r="I28" s="58">
        <f>SUM(C27:C29)</f>
        <v>0</v>
      </c>
    </row>
    <row r="29" spans="1:9" ht="15.75" x14ac:dyDescent="0.25">
      <c r="A29" s="111" t="s">
        <v>2408</v>
      </c>
      <c r="B29" s="112"/>
      <c r="C29" s="59">
        <f>SUM('Stavební rozpočet'!AL12:AL1239)</f>
        <v>0</v>
      </c>
      <c r="D29" s="114" t="s">
        <v>2409</v>
      </c>
      <c r="E29" s="112"/>
      <c r="F29" s="59">
        <f>ROUND(C29*(21/100),2)</f>
        <v>0</v>
      </c>
      <c r="G29" s="114" t="s">
        <v>2410</v>
      </c>
      <c r="H29" s="112"/>
      <c r="I29" s="59">
        <f>SUM(F28:F29)+I28</f>
        <v>0</v>
      </c>
    </row>
    <row r="31" spans="1:9" x14ac:dyDescent="0.25">
      <c r="A31" s="124" t="s">
        <v>2411</v>
      </c>
      <c r="B31" s="116"/>
      <c r="C31" s="117"/>
      <c r="D31" s="115" t="s">
        <v>2412</v>
      </c>
      <c r="E31" s="116"/>
      <c r="F31" s="117"/>
      <c r="G31" s="115" t="s">
        <v>2413</v>
      </c>
      <c r="H31" s="116"/>
      <c r="I31" s="117"/>
    </row>
    <row r="32" spans="1:9" x14ac:dyDescent="0.25">
      <c r="A32" s="125" t="s">
        <v>52</v>
      </c>
      <c r="B32" s="119"/>
      <c r="C32" s="120"/>
      <c r="D32" s="118" t="s">
        <v>52</v>
      </c>
      <c r="E32" s="119"/>
      <c r="F32" s="120"/>
      <c r="G32" s="118" t="s">
        <v>52</v>
      </c>
      <c r="H32" s="119"/>
      <c r="I32" s="120"/>
    </row>
    <row r="33" spans="1:9" x14ac:dyDescent="0.25">
      <c r="A33" s="125" t="s">
        <v>52</v>
      </c>
      <c r="B33" s="119"/>
      <c r="C33" s="120"/>
      <c r="D33" s="118" t="s">
        <v>52</v>
      </c>
      <c r="E33" s="119"/>
      <c r="F33" s="120"/>
      <c r="G33" s="118" t="s">
        <v>52</v>
      </c>
      <c r="H33" s="119"/>
      <c r="I33" s="120"/>
    </row>
    <row r="34" spans="1:9" x14ac:dyDescent="0.25">
      <c r="A34" s="125" t="s">
        <v>52</v>
      </c>
      <c r="B34" s="119"/>
      <c r="C34" s="120"/>
      <c r="D34" s="118" t="s">
        <v>52</v>
      </c>
      <c r="E34" s="119"/>
      <c r="F34" s="120"/>
      <c r="G34" s="118" t="s">
        <v>52</v>
      </c>
      <c r="H34" s="119"/>
      <c r="I34" s="120"/>
    </row>
    <row r="35" spans="1:9" x14ac:dyDescent="0.25">
      <c r="A35" s="126" t="s">
        <v>2414</v>
      </c>
      <c r="B35" s="122"/>
      <c r="C35" s="123"/>
      <c r="D35" s="121" t="s">
        <v>2414</v>
      </c>
      <c r="E35" s="122"/>
      <c r="F35" s="123"/>
      <c r="G35" s="121" t="s">
        <v>2414</v>
      </c>
      <c r="H35" s="122"/>
      <c r="I35" s="123"/>
    </row>
    <row r="36" spans="1:9" x14ac:dyDescent="0.25">
      <c r="A36" s="60" t="s">
        <v>2361</v>
      </c>
    </row>
    <row r="37" spans="1:9" ht="270" customHeight="1" x14ac:dyDescent="0.25">
      <c r="A37" s="83" t="s">
        <v>2362</v>
      </c>
      <c r="B37" s="80"/>
      <c r="C37" s="80"/>
      <c r="D37" s="80"/>
      <c r="E37" s="80"/>
      <c r="F37" s="80"/>
      <c r="G37" s="80"/>
      <c r="H37" s="80"/>
      <c r="I37" s="80"/>
    </row>
  </sheetData>
  <mergeCells count="83">
    <mergeCell ref="A37:I37"/>
    <mergeCell ref="G31:I31"/>
    <mergeCell ref="G32:I32"/>
    <mergeCell ref="G33:I33"/>
    <mergeCell ref="G34:I34"/>
    <mergeCell ref="G35:I35"/>
    <mergeCell ref="D31:F31"/>
    <mergeCell ref="D32:F32"/>
    <mergeCell ref="D33:F33"/>
    <mergeCell ref="D34:F34"/>
    <mergeCell ref="D35:F35"/>
    <mergeCell ref="A31:C31"/>
    <mergeCell ref="A32:C32"/>
    <mergeCell ref="A33:C33"/>
    <mergeCell ref="A34:C34"/>
    <mergeCell ref="A35:C35"/>
    <mergeCell ref="G24:H24"/>
    <mergeCell ref="G25:H25"/>
    <mergeCell ref="A27:B27"/>
    <mergeCell ref="A28:B28"/>
    <mergeCell ref="A29:B29"/>
    <mergeCell ref="D28:E28"/>
    <mergeCell ref="D29:E29"/>
    <mergeCell ref="G28:H28"/>
    <mergeCell ref="G29:H29"/>
    <mergeCell ref="D23:E23"/>
    <mergeCell ref="G14:H14"/>
    <mergeCell ref="G15:H15"/>
    <mergeCell ref="G16:H16"/>
    <mergeCell ref="G17:H17"/>
    <mergeCell ref="G18:H18"/>
    <mergeCell ref="G19:H19"/>
    <mergeCell ref="G20:H20"/>
    <mergeCell ref="G21:H21"/>
    <mergeCell ref="G22:H22"/>
    <mergeCell ref="G23:H23"/>
    <mergeCell ref="A20:B20"/>
    <mergeCell ref="A21:B21"/>
    <mergeCell ref="A22:B22"/>
    <mergeCell ref="D14:E14"/>
    <mergeCell ref="D15:E15"/>
    <mergeCell ref="D16:E16"/>
    <mergeCell ref="D17:E17"/>
    <mergeCell ref="D18:E18"/>
    <mergeCell ref="D19:E19"/>
    <mergeCell ref="D20:E20"/>
    <mergeCell ref="D21:E21"/>
    <mergeCell ref="D22:E22"/>
    <mergeCell ref="I10:I11"/>
    <mergeCell ref="A12:I12"/>
    <mergeCell ref="B13:C13"/>
    <mergeCell ref="E13:F13"/>
    <mergeCell ref="H13:I13"/>
    <mergeCell ref="F10:G11"/>
    <mergeCell ref="A10:B11"/>
    <mergeCell ref="H2:H3"/>
    <mergeCell ref="H4:H5"/>
    <mergeCell ref="H6:H7"/>
    <mergeCell ref="H8:H9"/>
    <mergeCell ref="H10:H11"/>
    <mergeCell ref="C8:D9"/>
    <mergeCell ref="C10:D11"/>
    <mergeCell ref="E2:E3"/>
    <mergeCell ref="E4:E5"/>
    <mergeCell ref="E6:E7"/>
    <mergeCell ref="E8:E9"/>
    <mergeCell ref="E10:E11"/>
    <mergeCell ref="A1:I1"/>
    <mergeCell ref="A2:B3"/>
    <mergeCell ref="A4:B5"/>
    <mergeCell ref="A6:B7"/>
    <mergeCell ref="A8:B9"/>
    <mergeCell ref="F2:G3"/>
    <mergeCell ref="F4:G5"/>
    <mergeCell ref="F6:G7"/>
    <mergeCell ref="F8:G9"/>
    <mergeCell ref="I2:I3"/>
    <mergeCell ref="I4:I5"/>
    <mergeCell ref="I6:I7"/>
    <mergeCell ref="I8:I9"/>
    <mergeCell ref="C2:D3"/>
    <mergeCell ref="C4:D5"/>
    <mergeCell ref="C6:D7"/>
  </mergeCells>
  <pageMargins left="0.393999993801117" right="0.393999993801117" top="0.59100002050399802" bottom="0.59100002050399802" header="0" footer="0"/>
  <pageSetup scale="6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I103"/>
  <sheetViews>
    <sheetView workbookViewId="0">
      <pane ySplit="11" topLeftCell="A12" activePane="bottomLeft" state="frozen"/>
      <selection pane="bottomLeft" activeCell="C95" sqref="C95:D95"/>
    </sheetView>
  </sheetViews>
  <sheetFormatPr defaultColWidth="12.140625" defaultRowHeight="15" customHeight="1" x14ac:dyDescent="0.25"/>
  <cols>
    <col min="1" max="2" width="8.5703125" customWidth="1"/>
    <col min="3" max="3" width="71.42578125" customWidth="1"/>
    <col min="4" max="4" width="12.140625" customWidth="1"/>
    <col min="5" max="7" width="27.85546875" customWidth="1"/>
    <col min="8" max="9" width="0" hidden="1" customWidth="1"/>
  </cols>
  <sheetData>
    <row r="1" spans="1:9" ht="54.75" customHeight="1" x14ac:dyDescent="0.25">
      <c r="A1" s="76" t="s">
        <v>2363</v>
      </c>
      <c r="B1" s="76"/>
      <c r="C1" s="76"/>
      <c r="D1" s="76"/>
      <c r="E1" s="76"/>
      <c r="F1" s="76"/>
      <c r="G1" s="76"/>
    </row>
    <row r="2" spans="1:9" x14ac:dyDescent="0.25">
      <c r="A2" s="77" t="s">
        <v>1</v>
      </c>
      <c r="B2" s="78"/>
      <c r="C2" s="87" t="str">
        <f>'Stavební rozpočet'!C2</f>
        <v>"Autodílna - SAKO Brno, a.s., Černovická 15"</v>
      </c>
      <c r="D2" s="78" t="s">
        <v>3</v>
      </c>
      <c r="E2" s="78" t="s">
        <v>4</v>
      </c>
      <c r="F2" s="82" t="s">
        <v>5</v>
      </c>
      <c r="G2" s="129" t="str">
        <f>'Stavební rozpočet'!I2</f>
        <v>SAKO Brno, a.s., Jedovnická 4247/2, Židenice, 628</v>
      </c>
    </row>
    <row r="3" spans="1:9" ht="15" customHeight="1" x14ac:dyDescent="0.25">
      <c r="A3" s="79"/>
      <c r="B3" s="80"/>
      <c r="C3" s="89"/>
      <c r="D3" s="80"/>
      <c r="E3" s="80"/>
      <c r="F3" s="80"/>
      <c r="G3" s="85"/>
    </row>
    <row r="4" spans="1:9" x14ac:dyDescent="0.25">
      <c r="A4" s="81" t="s">
        <v>7</v>
      </c>
      <c r="B4" s="80"/>
      <c r="C4" s="83" t="str">
        <f>'Stavební rozpočet'!C4</f>
        <v>Skladovací hala - autodílna</v>
      </c>
      <c r="D4" s="80" t="s">
        <v>9</v>
      </c>
      <c r="E4" s="80" t="s">
        <v>10</v>
      </c>
      <c r="F4" s="83" t="s">
        <v>11</v>
      </c>
      <c r="G4" s="91" t="str">
        <f>'Stavební rozpočet'!I4</f>
        <v>GARANT projekt s.r.o.,</v>
      </c>
    </row>
    <row r="5" spans="1:9" ht="15" customHeight="1" x14ac:dyDescent="0.25">
      <c r="A5" s="79"/>
      <c r="B5" s="80"/>
      <c r="C5" s="80"/>
      <c r="D5" s="80"/>
      <c r="E5" s="80"/>
      <c r="F5" s="80"/>
      <c r="G5" s="85"/>
    </row>
    <row r="6" spans="1:9" x14ac:dyDescent="0.25">
      <c r="A6" s="81" t="s">
        <v>13</v>
      </c>
      <c r="B6" s="80"/>
      <c r="C6" s="83" t="str">
        <f>'Stavební rozpočet'!C6</f>
        <v>SAKO Brno, Černovická 454/15, Komárov, 617 00 Brno Jih</v>
      </c>
      <c r="D6" s="80" t="s">
        <v>15</v>
      </c>
      <c r="E6" s="80" t="s">
        <v>4</v>
      </c>
      <c r="F6" s="83" t="s">
        <v>16</v>
      </c>
      <c r="G6" s="91" t="str">
        <f>'Stavební rozpočet'!I6</f>
        <v>-</v>
      </c>
    </row>
    <row r="7" spans="1:9" ht="15" customHeight="1" x14ac:dyDescent="0.25">
      <c r="A7" s="79"/>
      <c r="B7" s="80"/>
      <c r="C7" s="80"/>
      <c r="D7" s="80"/>
      <c r="E7" s="80"/>
      <c r="F7" s="80"/>
      <c r="G7" s="85"/>
    </row>
    <row r="8" spans="1:9" x14ac:dyDescent="0.25">
      <c r="A8" s="81" t="s">
        <v>22</v>
      </c>
      <c r="B8" s="80"/>
      <c r="C8" s="83" t="str">
        <f>'Stavební rozpočet'!I8</f>
        <v>GARANT projekt s.r.o.,</v>
      </c>
      <c r="D8" s="80" t="s">
        <v>20</v>
      </c>
      <c r="E8" s="80" t="s">
        <v>21</v>
      </c>
      <c r="F8" s="80" t="s">
        <v>20</v>
      </c>
      <c r="G8" s="91" t="str">
        <f>'Stavební rozpočet'!G8</f>
        <v>20.08.2024</v>
      </c>
    </row>
    <row r="9" spans="1:9" x14ac:dyDescent="0.25">
      <c r="A9" s="127"/>
      <c r="B9" s="128"/>
      <c r="C9" s="128"/>
      <c r="D9" s="90"/>
      <c r="E9" s="128"/>
      <c r="F9" s="128"/>
      <c r="G9" s="130"/>
    </row>
    <row r="10" spans="1:9" x14ac:dyDescent="0.25">
      <c r="A10" s="41" t="s">
        <v>2364</v>
      </c>
      <c r="B10" s="42" t="s">
        <v>24</v>
      </c>
      <c r="C10" s="43" t="s">
        <v>25</v>
      </c>
      <c r="E10" s="44" t="s">
        <v>2365</v>
      </c>
      <c r="F10" s="45" t="s">
        <v>2366</v>
      </c>
      <c r="G10" s="45" t="s">
        <v>2367</v>
      </c>
    </row>
    <row r="11" spans="1:9" x14ac:dyDescent="0.25">
      <c r="A11" s="69" t="s">
        <v>56</v>
      </c>
      <c r="B11" s="70" t="s">
        <v>52</v>
      </c>
      <c r="C11" s="131" t="s">
        <v>53</v>
      </c>
      <c r="D11" s="131"/>
      <c r="E11" s="72">
        <f>'Stavební rozpočet'!H12</f>
        <v>0</v>
      </c>
      <c r="F11" s="72">
        <f>'Stavební rozpočet'!I12</f>
        <v>0</v>
      </c>
      <c r="G11" s="72">
        <f>'Stavební rozpočet'!J12</f>
        <v>0</v>
      </c>
      <c r="H11" s="30" t="s">
        <v>2368</v>
      </c>
      <c r="I11" s="28">
        <f t="shared" ref="I11:I42" si="0">IF(H11="F",0,G11)</f>
        <v>0</v>
      </c>
    </row>
    <row r="12" spans="1:9" x14ac:dyDescent="0.25">
      <c r="A12" s="2" t="s">
        <v>56</v>
      </c>
      <c r="B12" s="3" t="s">
        <v>54</v>
      </c>
      <c r="C12" s="80" t="s">
        <v>55</v>
      </c>
      <c r="D12" s="80"/>
      <c r="E12" s="28">
        <f>'Stavební rozpočet'!H13</f>
        <v>0</v>
      </c>
      <c r="F12" s="28">
        <f>'Stavební rozpočet'!I13</f>
        <v>0</v>
      </c>
      <c r="G12" s="28">
        <f>'Stavební rozpočet'!J13</f>
        <v>0</v>
      </c>
      <c r="H12" s="30" t="s">
        <v>2369</v>
      </c>
      <c r="I12" s="28">
        <f t="shared" si="0"/>
        <v>0</v>
      </c>
    </row>
    <row r="13" spans="1:9" x14ac:dyDescent="0.25">
      <c r="A13" s="2" t="s">
        <v>56</v>
      </c>
      <c r="B13" s="3" t="s">
        <v>73</v>
      </c>
      <c r="C13" s="80" t="s">
        <v>74</v>
      </c>
      <c r="D13" s="80"/>
      <c r="E13" s="28">
        <f>'Stavební rozpočet'!H19</f>
        <v>0</v>
      </c>
      <c r="F13" s="28">
        <f>'Stavební rozpočet'!I19</f>
        <v>0</v>
      </c>
      <c r="G13" s="28">
        <f>'Stavební rozpočet'!J19</f>
        <v>0</v>
      </c>
      <c r="H13" s="30" t="s">
        <v>2369</v>
      </c>
      <c r="I13" s="28">
        <f t="shared" si="0"/>
        <v>0</v>
      </c>
    </row>
    <row r="14" spans="1:9" x14ac:dyDescent="0.25">
      <c r="A14" s="2" t="s">
        <v>56</v>
      </c>
      <c r="B14" s="3" t="s">
        <v>82</v>
      </c>
      <c r="C14" s="80" t="s">
        <v>83</v>
      </c>
      <c r="D14" s="80"/>
      <c r="E14" s="28">
        <f>'Stavební rozpočet'!H22</f>
        <v>0</v>
      </c>
      <c r="F14" s="28">
        <f>'Stavební rozpočet'!I22</f>
        <v>0</v>
      </c>
      <c r="G14" s="28">
        <f>'Stavební rozpočet'!J22</f>
        <v>0</v>
      </c>
      <c r="H14" s="30" t="s">
        <v>2369</v>
      </c>
      <c r="I14" s="28">
        <f t="shared" si="0"/>
        <v>0</v>
      </c>
    </row>
    <row r="15" spans="1:9" x14ac:dyDescent="0.25">
      <c r="A15" s="2" t="s">
        <v>56</v>
      </c>
      <c r="B15" s="3" t="s">
        <v>119</v>
      </c>
      <c r="C15" s="80" t="s">
        <v>120</v>
      </c>
      <c r="D15" s="80"/>
      <c r="E15" s="28">
        <f>'Stavební rozpočet'!H39</f>
        <v>0</v>
      </c>
      <c r="F15" s="28">
        <f>'Stavební rozpočet'!I39</f>
        <v>0</v>
      </c>
      <c r="G15" s="28">
        <f>'Stavební rozpočet'!J39</f>
        <v>0</v>
      </c>
      <c r="H15" s="30" t="s">
        <v>2369</v>
      </c>
      <c r="I15" s="28">
        <f t="shared" si="0"/>
        <v>0</v>
      </c>
    </row>
    <row r="16" spans="1:9" x14ac:dyDescent="0.25">
      <c r="A16" s="2" t="s">
        <v>56</v>
      </c>
      <c r="B16" s="3" t="s">
        <v>132</v>
      </c>
      <c r="C16" s="80" t="s">
        <v>133</v>
      </c>
      <c r="D16" s="80"/>
      <c r="E16" s="28">
        <f>'Stavební rozpočet'!H44</f>
        <v>0</v>
      </c>
      <c r="F16" s="28">
        <f>'Stavební rozpočet'!I44</f>
        <v>0</v>
      </c>
      <c r="G16" s="28">
        <f>'Stavební rozpočet'!J44</f>
        <v>0</v>
      </c>
      <c r="H16" s="30" t="s">
        <v>2369</v>
      </c>
      <c r="I16" s="28">
        <f t="shared" si="0"/>
        <v>0</v>
      </c>
    </row>
    <row r="17" spans="1:9" x14ac:dyDescent="0.25">
      <c r="A17" s="2" t="s">
        <v>56</v>
      </c>
      <c r="B17" s="3" t="s">
        <v>143</v>
      </c>
      <c r="C17" s="80" t="s">
        <v>144</v>
      </c>
      <c r="D17" s="80"/>
      <c r="E17" s="28">
        <f>'Stavební rozpočet'!H47</f>
        <v>0</v>
      </c>
      <c r="F17" s="28">
        <f>'Stavební rozpočet'!I47</f>
        <v>0</v>
      </c>
      <c r="G17" s="28">
        <f>'Stavební rozpočet'!J47</f>
        <v>0</v>
      </c>
      <c r="H17" s="30" t="s">
        <v>2369</v>
      </c>
      <c r="I17" s="28">
        <f t="shared" si="0"/>
        <v>0</v>
      </c>
    </row>
    <row r="18" spans="1:9" x14ac:dyDescent="0.25">
      <c r="A18" s="2" t="s">
        <v>56</v>
      </c>
      <c r="B18" s="3" t="s">
        <v>152</v>
      </c>
      <c r="C18" s="80" t="s">
        <v>153</v>
      </c>
      <c r="D18" s="80"/>
      <c r="E18" s="28">
        <f>'Stavební rozpočet'!H50</f>
        <v>0</v>
      </c>
      <c r="F18" s="28">
        <f>'Stavební rozpočet'!I50</f>
        <v>0</v>
      </c>
      <c r="G18" s="28">
        <f>'Stavební rozpočet'!J50</f>
        <v>0</v>
      </c>
      <c r="H18" s="30" t="s">
        <v>2369</v>
      </c>
      <c r="I18" s="28">
        <f t="shared" si="0"/>
        <v>0</v>
      </c>
    </row>
    <row r="19" spans="1:9" x14ac:dyDescent="0.25">
      <c r="A19" s="2" t="s">
        <v>56</v>
      </c>
      <c r="B19" s="3" t="s">
        <v>162</v>
      </c>
      <c r="C19" s="80" t="s">
        <v>163</v>
      </c>
      <c r="D19" s="80"/>
      <c r="E19" s="28">
        <f>'Stavební rozpočet'!H55</f>
        <v>0</v>
      </c>
      <c r="F19" s="28">
        <f>'Stavební rozpočet'!I55</f>
        <v>0</v>
      </c>
      <c r="G19" s="28">
        <f>'Stavební rozpočet'!J55</f>
        <v>0</v>
      </c>
      <c r="H19" s="30" t="s">
        <v>2369</v>
      </c>
      <c r="I19" s="28">
        <f t="shared" si="0"/>
        <v>0</v>
      </c>
    </row>
    <row r="20" spans="1:9" x14ac:dyDescent="0.25">
      <c r="A20" s="2" t="s">
        <v>56</v>
      </c>
      <c r="B20" s="3" t="s">
        <v>177</v>
      </c>
      <c r="C20" s="80" t="s">
        <v>178</v>
      </c>
      <c r="D20" s="80"/>
      <c r="E20" s="28">
        <f>'Stavební rozpočet'!H61</f>
        <v>0</v>
      </c>
      <c r="F20" s="28">
        <f>'Stavební rozpočet'!I61</f>
        <v>0</v>
      </c>
      <c r="G20" s="28">
        <f>'Stavební rozpočet'!J61</f>
        <v>0</v>
      </c>
      <c r="H20" s="30" t="s">
        <v>2369</v>
      </c>
      <c r="I20" s="28">
        <f t="shared" si="0"/>
        <v>0</v>
      </c>
    </row>
    <row r="21" spans="1:9" x14ac:dyDescent="0.25">
      <c r="A21" s="2" t="s">
        <v>56</v>
      </c>
      <c r="B21" s="3" t="s">
        <v>221</v>
      </c>
      <c r="C21" s="80" t="s">
        <v>222</v>
      </c>
      <c r="D21" s="80"/>
      <c r="E21" s="28">
        <f>'Stavební rozpočet'!H84</f>
        <v>0</v>
      </c>
      <c r="F21" s="28">
        <f>'Stavební rozpočet'!I84</f>
        <v>0</v>
      </c>
      <c r="G21" s="28">
        <f>'Stavební rozpočet'!J84</f>
        <v>0</v>
      </c>
      <c r="H21" s="30" t="s">
        <v>2369</v>
      </c>
      <c r="I21" s="28">
        <f t="shared" si="0"/>
        <v>0</v>
      </c>
    </row>
    <row r="22" spans="1:9" x14ac:dyDescent="0.25">
      <c r="A22" s="2" t="s">
        <v>56</v>
      </c>
      <c r="B22" s="3" t="s">
        <v>227</v>
      </c>
      <c r="C22" s="80" t="s">
        <v>228</v>
      </c>
      <c r="D22" s="80"/>
      <c r="E22" s="28">
        <f>'Stavební rozpočet'!H86</f>
        <v>0</v>
      </c>
      <c r="F22" s="28">
        <f>'Stavební rozpočet'!I86</f>
        <v>0</v>
      </c>
      <c r="G22" s="28">
        <f>'Stavební rozpočet'!J86</f>
        <v>0</v>
      </c>
      <c r="H22" s="30" t="s">
        <v>2369</v>
      </c>
      <c r="I22" s="28">
        <f t="shared" si="0"/>
        <v>0</v>
      </c>
    </row>
    <row r="23" spans="1:9" x14ac:dyDescent="0.25">
      <c r="A23" s="73" t="s">
        <v>236</v>
      </c>
      <c r="B23" s="71" t="s">
        <v>52</v>
      </c>
      <c r="C23" s="131" t="s">
        <v>234</v>
      </c>
      <c r="D23" s="131"/>
      <c r="E23" s="74">
        <f>'Stavební rozpočet'!H89</f>
        <v>0</v>
      </c>
      <c r="F23" s="74">
        <f>'Stavební rozpočet'!I89</f>
        <v>0</v>
      </c>
      <c r="G23" s="74">
        <f>'Stavební rozpočet'!J89</f>
        <v>0</v>
      </c>
      <c r="H23" s="30" t="s">
        <v>2368</v>
      </c>
      <c r="I23" s="28">
        <f t="shared" si="0"/>
        <v>0</v>
      </c>
    </row>
    <row r="24" spans="1:9" x14ac:dyDescent="0.25">
      <c r="A24" s="2" t="s">
        <v>236</v>
      </c>
      <c r="B24" s="3" t="s">
        <v>129</v>
      </c>
      <c r="C24" s="80" t="s">
        <v>235</v>
      </c>
      <c r="D24" s="80"/>
      <c r="E24" s="28">
        <f>'Stavební rozpočet'!H90</f>
        <v>0</v>
      </c>
      <c r="F24" s="28">
        <f>'Stavební rozpočet'!I90</f>
        <v>0</v>
      </c>
      <c r="G24" s="28">
        <f>'Stavební rozpočet'!J90</f>
        <v>0</v>
      </c>
      <c r="H24" s="30" t="s">
        <v>2369</v>
      </c>
      <c r="I24" s="28">
        <f t="shared" si="0"/>
        <v>0</v>
      </c>
    </row>
    <row r="25" spans="1:9" x14ac:dyDescent="0.25">
      <c r="A25" s="2" t="s">
        <v>236</v>
      </c>
      <c r="B25" s="3" t="s">
        <v>145</v>
      </c>
      <c r="C25" s="80" t="s">
        <v>282</v>
      </c>
      <c r="D25" s="80"/>
      <c r="E25" s="28">
        <f>'Stavební rozpočet'!H116</f>
        <v>0</v>
      </c>
      <c r="F25" s="28">
        <f>'Stavební rozpočet'!I116</f>
        <v>0</v>
      </c>
      <c r="G25" s="28">
        <f>'Stavební rozpočet'!J116</f>
        <v>0</v>
      </c>
      <c r="H25" s="30" t="s">
        <v>2369</v>
      </c>
      <c r="I25" s="28">
        <f t="shared" si="0"/>
        <v>0</v>
      </c>
    </row>
    <row r="26" spans="1:9" x14ac:dyDescent="0.25">
      <c r="A26" s="2" t="s">
        <v>236</v>
      </c>
      <c r="B26" s="3" t="s">
        <v>54</v>
      </c>
      <c r="C26" s="80" t="s">
        <v>55</v>
      </c>
      <c r="D26" s="80"/>
      <c r="E26" s="28">
        <f>'Stavební rozpočet'!H119</f>
        <v>0</v>
      </c>
      <c r="F26" s="28">
        <f>'Stavební rozpočet'!I119</f>
        <v>0</v>
      </c>
      <c r="G26" s="28">
        <f>'Stavební rozpočet'!J119</f>
        <v>0</v>
      </c>
      <c r="H26" s="30" t="s">
        <v>2369</v>
      </c>
      <c r="I26" s="28">
        <f t="shared" si="0"/>
        <v>0</v>
      </c>
    </row>
    <row r="27" spans="1:9" x14ac:dyDescent="0.25">
      <c r="A27" s="2" t="s">
        <v>236</v>
      </c>
      <c r="B27" s="3" t="s">
        <v>309</v>
      </c>
      <c r="C27" s="80" t="s">
        <v>310</v>
      </c>
      <c r="D27" s="80"/>
      <c r="E27" s="28">
        <f>'Stavební rozpočet'!H137</f>
        <v>0</v>
      </c>
      <c r="F27" s="28">
        <f>'Stavební rozpočet'!I137</f>
        <v>0</v>
      </c>
      <c r="G27" s="28">
        <f>'Stavební rozpočet'!J137</f>
        <v>0</v>
      </c>
      <c r="H27" s="30" t="s">
        <v>2369</v>
      </c>
      <c r="I27" s="28">
        <f t="shared" si="0"/>
        <v>0</v>
      </c>
    </row>
    <row r="28" spans="1:9" x14ac:dyDescent="0.25">
      <c r="A28" s="2" t="s">
        <v>236</v>
      </c>
      <c r="B28" s="3" t="s">
        <v>82</v>
      </c>
      <c r="C28" s="80" t="s">
        <v>83</v>
      </c>
      <c r="D28" s="80"/>
      <c r="E28" s="28">
        <f>'Stavební rozpočet'!H144</f>
        <v>0</v>
      </c>
      <c r="F28" s="28">
        <f>'Stavební rozpočet'!I144</f>
        <v>0</v>
      </c>
      <c r="G28" s="28">
        <f>'Stavební rozpočet'!J144</f>
        <v>0</v>
      </c>
      <c r="H28" s="30" t="s">
        <v>2369</v>
      </c>
      <c r="I28" s="28">
        <f t="shared" si="0"/>
        <v>0</v>
      </c>
    </row>
    <row r="29" spans="1:9" x14ac:dyDescent="0.25">
      <c r="A29" s="2" t="s">
        <v>236</v>
      </c>
      <c r="B29" s="3" t="s">
        <v>174</v>
      </c>
      <c r="C29" s="80" t="s">
        <v>330</v>
      </c>
      <c r="D29" s="80"/>
      <c r="E29" s="28">
        <f>'Stavební rozpočet'!H147</f>
        <v>0</v>
      </c>
      <c r="F29" s="28">
        <f>'Stavební rozpočet'!I147</f>
        <v>0</v>
      </c>
      <c r="G29" s="28">
        <f>'Stavební rozpočet'!J147</f>
        <v>0</v>
      </c>
      <c r="H29" s="30" t="s">
        <v>2369</v>
      </c>
      <c r="I29" s="28">
        <f t="shared" si="0"/>
        <v>0</v>
      </c>
    </row>
    <row r="30" spans="1:9" x14ac:dyDescent="0.25">
      <c r="A30" s="2" t="s">
        <v>236</v>
      </c>
      <c r="B30" s="3" t="s">
        <v>179</v>
      </c>
      <c r="C30" s="80" t="s">
        <v>338</v>
      </c>
      <c r="D30" s="80"/>
      <c r="E30" s="28">
        <f>'Stavební rozpočet'!H151</f>
        <v>0</v>
      </c>
      <c r="F30" s="28">
        <f>'Stavební rozpočet'!I151</f>
        <v>0</v>
      </c>
      <c r="G30" s="28">
        <f>'Stavební rozpočet'!J151</f>
        <v>0</v>
      </c>
      <c r="H30" s="30" t="s">
        <v>2369</v>
      </c>
      <c r="I30" s="28">
        <f t="shared" si="0"/>
        <v>0</v>
      </c>
    </row>
    <row r="31" spans="1:9" x14ac:dyDescent="0.25">
      <c r="A31" s="2" t="s">
        <v>236</v>
      </c>
      <c r="B31" s="3" t="s">
        <v>202</v>
      </c>
      <c r="C31" s="80" t="s">
        <v>350</v>
      </c>
      <c r="D31" s="80"/>
      <c r="E31" s="28">
        <f>'Stavební rozpočet'!H157</f>
        <v>0</v>
      </c>
      <c r="F31" s="28">
        <f>'Stavební rozpočet'!I157</f>
        <v>0</v>
      </c>
      <c r="G31" s="28">
        <f>'Stavební rozpočet'!J157</f>
        <v>0</v>
      </c>
      <c r="H31" s="30" t="s">
        <v>2369</v>
      </c>
      <c r="I31" s="28">
        <f t="shared" si="0"/>
        <v>0</v>
      </c>
    </row>
    <row r="32" spans="1:9" x14ac:dyDescent="0.25">
      <c r="A32" s="2" t="s">
        <v>236</v>
      </c>
      <c r="B32" s="3" t="s">
        <v>223</v>
      </c>
      <c r="C32" s="80" t="s">
        <v>470</v>
      </c>
      <c r="D32" s="80"/>
      <c r="E32" s="28">
        <f>'Stavební rozpočet'!H230</f>
        <v>0</v>
      </c>
      <c r="F32" s="28">
        <f>'Stavební rozpočet'!I230</f>
        <v>0</v>
      </c>
      <c r="G32" s="28">
        <f>'Stavební rozpočet'!J230</f>
        <v>0</v>
      </c>
      <c r="H32" s="30" t="s">
        <v>2369</v>
      </c>
      <c r="I32" s="28">
        <f t="shared" si="0"/>
        <v>0</v>
      </c>
    </row>
    <row r="33" spans="1:9" x14ac:dyDescent="0.25">
      <c r="A33" s="2" t="s">
        <v>236</v>
      </c>
      <c r="B33" s="3" t="s">
        <v>245</v>
      </c>
      <c r="C33" s="80" t="s">
        <v>548</v>
      </c>
      <c r="D33" s="80"/>
      <c r="E33" s="28">
        <f>'Stavební rozpočet'!H272</f>
        <v>0</v>
      </c>
      <c r="F33" s="28">
        <f>'Stavební rozpočet'!I272</f>
        <v>0</v>
      </c>
      <c r="G33" s="28">
        <f>'Stavební rozpočet'!J272</f>
        <v>0</v>
      </c>
      <c r="H33" s="30" t="s">
        <v>2369</v>
      </c>
      <c r="I33" s="28">
        <f t="shared" si="0"/>
        <v>0</v>
      </c>
    </row>
    <row r="34" spans="1:9" x14ac:dyDescent="0.25">
      <c r="A34" s="2" t="s">
        <v>236</v>
      </c>
      <c r="B34" s="3" t="s">
        <v>299</v>
      </c>
      <c r="C34" s="80" t="s">
        <v>581</v>
      </c>
      <c r="D34" s="80"/>
      <c r="E34" s="28">
        <f>'Stavební rozpočet'!H292</f>
        <v>0</v>
      </c>
      <c r="F34" s="28">
        <f>'Stavební rozpočet'!I292</f>
        <v>0</v>
      </c>
      <c r="G34" s="28">
        <f>'Stavební rozpočet'!J292</f>
        <v>0</v>
      </c>
      <c r="H34" s="30" t="s">
        <v>2369</v>
      </c>
      <c r="I34" s="28">
        <f t="shared" si="0"/>
        <v>0</v>
      </c>
    </row>
    <row r="35" spans="1:9" x14ac:dyDescent="0.25">
      <c r="A35" s="2" t="s">
        <v>236</v>
      </c>
      <c r="B35" s="3" t="s">
        <v>677</v>
      </c>
      <c r="C35" s="80" t="s">
        <v>678</v>
      </c>
      <c r="D35" s="80"/>
      <c r="E35" s="28">
        <f>'Stavební rozpočet'!H344</f>
        <v>0</v>
      </c>
      <c r="F35" s="28">
        <f>'Stavební rozpočet'!I344</f>
        <v>0</v>
      </c>
      <c r="G35" s="28">
        <f>'Stavební rozpočet'!J344</f>
        <v>0</v>
      </c>
      <c r="H35" s="30" t="s">
        <v>2369</v>
      </c>
      <c r="I35" s="28">
        <f t="shared" si="0"/>
        <v>0</v>
      </c>
    </row>
    <row r="36" spans="1:9" x14ac:dyDescent="0.25">
      <c r="A36" s="2" t="s">
        <v>236</v>
      </c>
      <c r="B36" s="3" t="s">
        <v>410</v>
      </c>
      <c r="C36" s="80" t="s">
        <v>698</v>
      </c>
      <c r="D36" s="80"/>
      <c r="E36" s="28">
        <f>'Stavební rozpočet'!H359</f>
        <v>0</v>
      </c>
      <c r="F36" s="28">
        <f>'Stavební rozpočet'!I359</f>
        <v>0</v>
      </c>
      <c r="G36" s="28">
        <f>'Stavební rozpočet'!J359</f>
        <v>0</v>
      </c>
      <c r="H36" s="30" t="s">
        <v>2369</v>
      </c>
      <c r="I36" s="28">
        <f t="shared" si="0"/>
        <v>0</v>
      </c>
    </row>
    <row r="37" spans="1:9" x14ac:dyDescent="0.25">
      <c r="A37" s="2" t="s">
        <v>236</v>
      </c>
      <c r="B37" s="3" t="s">
        <v>465</v>
      </c>
      <c r="C37" s="80" t="s">
        <v>709</v>
      </c>
      <c r="D37" s="80"/>
      <c r="E37" s="28">
        <f>'Stavební rozpočet'!H366</f>
        <v>0</v>
      </c>
      <c r="F37" s="28">
        <f>'Stavební rozpočet'!I366</f>
        <v>0</v>
      </c>
      <c r="G37" s="28">
        <f>'Stavební rozpočet'!J366</f>
        <v>0</v>
      </c>
      <c r="H37" s="30" t="s">
        <v>2369</v>
      </c>
      <c r="I37" s="28">
        <f t="shared" si="0"/>
        <v>0</v>
      </c>
    </row>
    <row r="38" spans="1:9" x14ac:dyDescent="0.25">
      <c r="A38" s="2" t="s">
        <v>236</v>
      </c>
      <c r="B38" s="3" t="s">
        <v>471</v>
      </c>
      <c r="C38" s="80" t="s">
        <v>733</v>
      </c>
      <c r="D38" s="80"/>
      <c r="E38" s="28">
        <f>'Stavební rozpočet'!H392</f>
        <v>0</v>
      </c>
      <c r="F38" s="28">
        <f>'Stavební rozpočet'!I392</f>
        <v>0</v>
      </c>
      <c r="G38" s="28">
        <f>'Stavební rozpočet'!J392</f>
        <v>0</v>
      </c>
      <c r="H38" s="30" t="s">
        <v>2369</v>
      </c>
      <c r="I38" s="28">
        <f t="shared" si="0"/>
        <v>0</v>
      </c>
    </row>
    <row r="39" spans="1:9" x14ac:dyDescent="0.25">
      <c r="A39" s="2" t="s">
        <v>236</v>
      </c>
      <c r="B39" s="3" t="s">
        <v>482</v>
      </c>
      <c r="C39" s="80" t="s">
        <v>753</v>
      </c>
      <c r="D39" s="80"/>
      <c r="E39" s="28">
        <f>'Stavební rozpočet'!H402</f>
        <v>0</v>
      </c>
      <c r="F39" s="28">
        <f>'Stavební rozpočet'!I402</f>
        <v>0</v>
      </c>
      <c r="G39" s="28">
        <f>'Stavební rozpočet'!J402</f>
        <v>0</v>
      </c>
      <c r="H39" s="30" t="s">
        <v>2369</v>
      </c>
      <c r="I39" s="28">
        <f t="shared" si="0"/>
        <v>0</v>
      </c>
    </row>
    <row r="40" spans="1:9" x14ac:dyDescent="0.25">
      <c r="A40" s="2" t="s">
        <v>236</v>
      </c>
      <c r="B40" s="3" t="s">
        <v>486</v>
      </c>
      <c r="C40" s="80" t="s">
        <v>766</v>
      </c>
      <c r="D40" s="80"/>
      <c r="E40" s="28">
        <f>'Stavební rozpočet'!H408</f>
        <v>0</v>
      </c>
      <c r="F40" s="28">
        <f>'Stavební rozpočet'!I408</f>
        <v>0</v>
      </c>
      <c r="G40" s="28">
        <f>'Stavební rozpočet'!J408</f>
        <v>0</v>
      </c>
      <c r="H40" s="30" t="s">
        <v>2369</v>
      </c>
      <c r="I40" s="28">
        <f t="shared" si="0"/>
        <v>0</v>
      </c>
    </row>
    <row r="41" spans="1:9" x14ac:dyDescent="0.25">
      <c r="A41" s="2" t="s">
        <v>236</v>
      </c>
      <c r="B41" s="3" t="s">
        <v>771</v>
      </c>
      <c r="C41" s="80" t="s">
        <v>772</v>
      </c>
      <c r="D41" s="80"/>
      <c r="E41" s="28">
        <f>'Stavební rozpočet'!H411</f>
        <v>0</v>
      </c>
      <c r="F41" s="28">
        <f>'Stavební rozpočet'!I411</f>
        <v>0</v>
      </c>
      <c r="G41" s="28">
        <f>'Stavební rozpočet'!J411</f>
        <v>0</v>
      </c>
      <c r="H41" s="30" t="s">
        <v>2369</v>
      </c>
      <c r="I41" s="28">
        <f t="shared" si="0"/>
        <v>0</v>
      </c>
    </row>
    <row r="42" spans="1:9" x14ac:dyDescent="0.25">
      <c r="A42" s="2" t="s">
        <v>236</v>
      </c>
      <c r="B42" s="3" t="s">
        <v>824</v>
      </c>
      <c r="C42" s="80" t="s">
        <v>825</v>
      </c>
      <c r="D42" s="80"/>
      <c r="E42" s="28">
        <f>'Stavební rozpočet'!H437</f>
        <v>0</v>
      </c>
      <c r="F42" s="28">
        <f>'Stavební rozpočet'!I437</f>
        <v>0</v>
      </c>
      <c r="G42" s="28">
        <f>'Stavební rozpočet'!J437</f>
        <v>0</v>
      </c>
      <c r="H42" s="30" t="s">
        <v>2369</v>
      </c>
      <c r="I42" s="28">
        <f t="shared" si="0"/>
        <v>0</v>
      </c>
    </row>
    <row r="43" spans="1:9" x14ac:dyDescent="0.25">
      <c r="A43" s="2" t="s">
        <v>236</v>
      </c>
      <c r="B43" s="3" t="s">
        <v>143</v>
      </c>
      <c r="C43" s="80" t="s">
        <v>144</v>
      </c>
      <c r="D43" s="80"/>
      <c r="E43" s="28">
        <f>'Stavební rozpočet'!H465</f>
        <v>0</v>
      </c>
      <c r="F43" s="28">
        <f>'Stavební rozpočet'!I465</f>
        <v>0</v>
      </c>
      <c r="G43" s="28">
        <f>'Stavební rozpočet'!J465</f>
        <v>0</v>
      </c>
      <c r="H43" s="30" t="s">
        <v>2369</v>
      </c>
      <c r="I43" s="28">
        <f t="shared" ref="I43:I74" si="1">IF(H43="F",0,G43)</f>
        <v>0</v>
      </c>
    </row>
    <row r="44" spans="1:9" x14ac:dyDescent="0.25">
      <c r="A44" s="2" t="s">
        <v>236</v>
      </c>
      <c r="B44" s="3" t="s">
        <v>152</v>
      </c>
      <c r="C44" s="80" t="s">
        <v>153</v>
      </c>
      <c r="D44" s="80"/>
      <c r="E44" s="28">
        <f>'Stavební rozpočet'!H470</f>
        <v>0</v>
      </c>
      <c r="F44" s="28">
        <f>'Stavební rozpočet'!I470</f>
        <v>0</v>
      </c>
      <c r="G44" s="28">
        <f>'Stavební rozpočet'!J470</f>
        <v>0</v>
      </c>
      <c r="H44" s="30" t="s">
        <v>2369</v>
      </c>
      <c r="I44" s="28">
        <f t="shared" si="1"/>
        <v>0</v>
      </c>
    </row>
    <row r="45" spans="1:9" x14ac:dyDescent="0.25">
      <c r="A45" s="2" t="s">
        <v>236</v>
      </c>
      <c r="B45" s="3" t="s">
        <v>951</v>
      </c>
      <c r="C45" s="80" t="s">
        <v>952</v>
      </c>
      <c r="D45" s="80"/>
      <c r="E45" s="28">
        <f>'Stavební rozpočet'!H507</f>
        <v>0</v>
      </c>
      <c r="F45" s="28">
        <f>'Stavební rozpočet'!I507</f>
        <v>0</v>
      </c>
      <c r="G45" s="28">
        <f>'Stavební rozpočet'!J507</f>
        <v>0</v>
      </c>
      <c r="H45" s="30" t="s">
        <v>2369</v>
      </c>
      <c r="I45" s="28">
        <f t="shared" si="1"/>
        <v>0</v>
      </c>
    </row>
    <row r="46" spans="1:9" x14ac:dyDescent="0.25">
      <c r="A46" s="2" t="s">
        <v>236</v>
      </c>
      <c r="B46" s="3" t="s">
        <v>162</v>
      </c>
      <c r="C46" s="80" t="s">
        <v>163</v>
      </c>
      <c r="D46" s="80"/>
      <c r="E46" s="28">
        <f>'Stavební rozpočet'!H517</f>
        <v>0</v>
      </c>
      <c r="F46" s="28">
        <f>'Stavební rozpočet'!I517</f>
        <v>0</v>
      </c>
      <c r="G46" s="28">
        <f>'Stavební rozpočet'!J517</f>
        <v>0</v>
      </c>
      <c r="H46" s="30" t="s">
        <v>2369</v>
      </c>
      <c r="I46" s="28">
        <f t="shared" si="1"/>
        <v>0</v>
      </c>
    </row>
    <row r="47" spans="1:9" x14ac:dyDescent="0.25">
      <c r="A47" s="2" t="s">
        <v>236</v>
      </c>
      <c r="B47" s="3" t="s">
        <v>1225</v>
      </c>
      <c r="C47" s="80" t="s">
        <v>1226</v>
      </c>
      <c r="D47" s="80"/>
      <c r="E47" s="28">
        <f>'Stavební rozpočet'!H666</f>
        <v>0</v>
      </c>
      <c r="F47" s="28">
        <f>'Stavební rozpočet'!I666</f>
        <v>0</v>
      </c>
      <c r="G47" s="28">
        <f>'Stavební rozpočet'!J666</f>
        <v>0</v>
      </c>
      <c r="H47" s="30" t="s">
        <v>2369</v>
      </c>
      <c r="I47" s="28">
        <f t="shared" si="1"/>
        <v>0</v>
      </c>
    </row>
    <row r="48" spans="1:9" x14ac:dyDescent="0.25">
      <c r="A48" s="2" t="s">
        <v>236</v>
      </c>
      <c r="B48" s="3" t="s">
        <v>1254</v>
      </c>
      <c r="C48" s="80" t="s">
        <v>1255</v>
      </c>
      <c r="D48" s="80"/>
      <c r="E48" s="28">
        <f>'Stavební rozpočet'!H682</f>
        <v>0</v>
      </c>
      <c r="F48" s="28">
        <f>'Stavební rozpočet'!I682</f>
        <v>0</v>
      </c>
      <c r="G48" s="28">
        <f>'Stavební rozpočet'!J682</f>
        <v>0</v>
      </c>
      <c r="H48" s="30" t="s">
        <v>2369</v>
      </c>
      <c r="I48" s="28">
        <f t="shared" si="1"/>
        <v>0</v>
      </c>
    </row>
    <row r="49" spans="1:9" x14ac:dyDescent="0.25">
      <c r="A49" s="2" t="s">
        <v>236</v>
      </c>
      <c r="B49" s="3" t="s">
        <v>1261</v>
      </c>
      <c r="C49" s="80" t="s">
        <v>1262</v>
      </c>
      <c r="D49" s="80"/>
      <c r="E49" s="28">
        <f>'Stavební rozpočet'!H685</f>
        <v>0</v>
      </c>
      <c r="F49" s="28">
        <f>'Stavební rozpočet'!I685</f>
        <v>0</v>
      </c>
      <c r="G49" s="28">
        <f>'Stavební rozpočet'!J685</f>
        <v>0</v>
      </c>
      <c r="H49" s="30" t="s">
        <v>2369</v>
      </c>
      <c r="I49" s="28">
        <f t="shared" si="1"/>
        <v>0</v>
      </c>
    </row>
    <row r="50" spans="1:9" x14ac:dyDescent="0.25">
      <c r="A50" s="2" t="s">
        <v>236</v>
      </c>
      <c r="B50" s="3" t="s">
        <v>1308</v>
      </c>
      <c r="C50" s="80" t="s">
        <v>1309</v>
      </c>
      <c r="D50" s="80"/>
      <c r="E50" s="28">
        <f>'Stavební rozpočet'!H730</f>
        <v>0</v>
      </c>
      <c r="F50" s="28">
        <f>'Stavební rozpočet'!I730</f>
        <v>0</v>
      </c>
      <c r="G50" s="28">
        <f>'Stavební rozpočet'!J730</f>
        <v>0</v>
      </c>
      <c r="H50" s="30" t="s">
        <v>2369</v>
      </c>
      <c r="I50" s="28">
        <f t="shared" si="1"/>
        <v>0</v>
      </c>
    </row>
    <row r="51" spans="1:9" x14ac:dyDescent="0.25">
      <c r="A51" s="2" t="s">
        <v>236</v>
      </c>
      <c r="B51" s="3" t="s">
        <v>1404</v>
      </c>
      <c r="C51" s="80" t="s">
        <v>1405</v>
      </c>
      <c r="D51" s="80"/>
      <c r="E51" s="28">
        <f>'Stavební rozpočet'!H786</f>
        <v>0</v>
      </c>
      <c r="F51" s="28">
        <f>'Stavební rozpočet'!I786</f>
        <v>0</v>
      </c>
      <c r="G51" s="28">
        <f>'Stavební rozpočet'!J786</f>
        <v>0</v>
      </c>
      <c r="H51" s="30" t="s">
        <v>2369</v>
      </c>
      <c r="I51" s="28">
        <f t="shared" si="1"/>
        <v>0</v>
      </c>
    </row>
    <row r="52" spans="1:9" x14ac:dyDescent="0.25">
      <c r="A52" s="2" t="s">
        <v>236</v>
      </c>
      <c r="B52" s="3" t="s">
        <v>667</v>
      </c>
      <c r="C52" s="80" t="s">
        <v>1426</v>
      </c>
      <c r="D52" s="80"/>
      <c r="E52" s="28">
        <f>'Stavební rozpočet'!H798</f>
        <v>0</v>
      </c>
      <c r="F52" s="28">
        <f>'Stavební rozpočet'!I798</f>
        <v>0</v>
      </c>
      <c r="G52" s="28">
        <f>'Stavební rozpočet'!J798</f>
        <v>0</v>
      </c>
      <c r="H52" s="30" t="s">
        <v>2369</v>
      </c>
      <c r="I52" s="28">
        <f t="shared" si="1"/>
        <v>0</v>
      </c>
    </row>
    <row r="53" spans="1:9" x14ac:dyDescent="0.25">
      <c r="A53" s="2" t="s">
        <v>236</v>
      </c>
      <c r="B53" s="3" t="s">
        <v>683</v>
      </c>
      <c r="C53" s="80" t="s">
        <v>1432</v>
      </c>
      <c r="D53" s="80"/>
      <c r="E53" s="28">
        <f>'Stavební rozpočet'!H801</f>
        <v>0</v>
      </c>
      <c r="F53" s="28">
        <f>'Stavební rozpočet'!I801</f>
        <v>0</v>
      </c>
      <c r="G53" s="28">
        <f>'Stavební rozpočet'!J801</f>
        <v>0</v>
      </c>
      <c r="H53" s="30" t="s">
        <v>2369</v>
      </c>
      <c r="I53" s="28">
        <f t="shared" si="1"/>
        <v>0</v>
      </c>
    </row>
    <row r="54" spans="1:9" x14ac:dyDescent="0.25">
      <c r="A54" s="2" t="s">
        <v>236</v>
      </c>
      <c r="B54" s="3" t="s">
        <v>686</v>
      </c>
      <c r="C54" s="80" t="s">
        <v>1451</v>
      </c>
      <c r="D54" s="80"/>
      <c r="E54" s="28">
        <f>'Stavební rozpočet'!H811</f>
        <v>0</v>
      </c>
      <c r="F54" s="28">
        <f>'Stavební rozpočet'!I811</f>
        <v>0</v>
      </c>
      <c r="G54" s="28">
        <f>'Stavební rozpočet'!J811</f>
        <v>0</v>
      </c>
      <c r="H54" s="30" t="s">
        <v>2369</v>
      </c>
      <c r="I54" s="28">
        <f t="shared" si="1"/>
        <v>0</v>
      </c>
    </row>
    <row r="55" spans="1:9" x14ac:dyDescent="0.25">
      <c r="A55" s="2" t="s">
        <v>236</v>
      </c>
      <c r="B55" s="3" t="s">
        <v>1459</v>
      </c>
      <c r="C55" s="80" t="s">
        <v>1460</v>
      </c>
      <c r="D55" s="80"/>
      <c r="E55" s="28">
        <f>'Stavební rozpočet'!H819</f>
        <v>0</v>
      </c>
      <c r="F55" s="28">
        <f>'Stavební rozpočet'!I819</f>
        <v>0</v>
      </c>
      <c r="G55" s="28">
        <f>'Stavební rozpočet'!J819</f>
        <v>0</v>
      </c>
      <c r="H55" s="30" t="s">
        <v>2369</v>
      </c>
      <c r="I55" s="28">
        <f t="shared" si="1"/>
        <v>0</v>
      </c>
    </row>
    <row r="56" spans="1:9" x14ac:dyDescent="0.25">
      <c r="A56" s="73" t="s">
        <v>1466</v>
      </c>
      <c r="B56" s="71" t="s">
        <v>52</v>
      </c>
      <c r="C56" s="131" t="s">
        <v>1465</v>
      </c>
      <c r="D56" s="131"/>
      <c r="E56" s="74">
        <f>'Stavební rozpočet'!H821</f>
        <v>0</v>
      </c>
      <c r="F56" s="74">
        <f>'Stavební rozpočet'!I821</f>
        <v>0</v>
      </c>
      <c r="G56" s="74">
        <f>'Stavební rozpočet'!J821</f>
        <v>0</v>
      </c>
      <c r="H56" s="30" t="s">
        <v>2368</v>
      </c>
      <c r="I56" s="28">
        <f t="shared" si="1"/>
        <v>0</v>
      </c>
    </row>
    <row r="57" spans="1:9" x14ac:dyDescent="0.25">
      <c r="A57" s="2" t="s">
        <v>1466</v>
      </c>
      <c r="B57" s="3" t="s">
        <v>82</v>
      </c>
      <c r="C57" s="80" t="s">
        <v>83</v>
      </c>
      <c r="D57" s="80"/>
      <c r="E57" s="28">
        <f>'Stavební rozpočet'!H822</f>
        <v>0</v>
      </c>
      <c r="F57" s="28">
        <f>'Stavební rozpočet'!I822</f>
        <v>0</v>
      </c>
      <c r="G57" s="28">
        <f>'Stavební rozpočet'!J822</f>
        <v>0</v>
      </c>
      <c r="H57" s="30" t="s">
        <v>2369</v>
      </c>
      <c r="I57" s="28">
        <f t="shared" si="1"/>
        <v>0</v>
      </c>
    </row>
    <row r="58" spans="1:9" x14ac:dyDescent="0.25">
      <c r="A58" s="2" t="s">
        <v>1466</v>
      </c>
      <c r="B58" s="3" t="s">
        <v>119</v>
      </c>
      <c r="C58" s="80" t="s">
        <v>120</v>
      </c>
      <c r="D58" s="80"/>
      <c r="E58" s="28">
        <f>'Stavební rozpočet'!H827</f>
        <v>0</v>
      </c>
      <c r="F58" s="28">
        <f>'Stavební rozpočet'!I827</f>
        <v>0</v>
      </c>
      <c r="G58" s="28">
        <f>'Stavební rozpočet'!J827</f>
        <v>0</v>
      </c>
      <c r="H58" s="30" t="s">
        <v>2369</v>
      </c>
      <c r="I58" s="28">
        <f t="shared" si="1"/>
        <v>0</v>
      </c>
    </row>
    <row r="59" spans="1:9" x14ac:dyDescent="0.25">
      <c r="A59" s="2" t="s">
        <v>1466</v>
      </c>
      <c r="B59" s="3" t="s">
        <v>174</v>
      </c>
      <c r="C59" s="80" t="s">
        <v>330</v>
      </c>
      <c r="D59" s="80"/>
      <c r="E59" s="28">
        <f>'Stavební rozpočet'!H837</f>
        <v>0</v>
      </c>
      <c r="F59" s="28">
        <f>'Stavební rozpočet'!I837</f>
        <v>0</v>
      </c>
      <c r="G59" s="28">
        <f>'Stavební rozpočet'!J837</f>
        <v>0</v>
      </c>
      <c r="H59" s="30" t="s">
        <v>2369</v>
      </c>
      <c r="I59" s="28">
        <f t="shared" si="1"/>
        <v>0</v>
      </c>
    </row>
    <row r="60" spans="1:9" x14ac:dyDescent="0.25">
      <c r="A60" s="2" t="s">
        <v>1466</v>
      </c>
      <c r="B60" s="3" t="s">
        <v>410</v>
      </c>
      <c r="C60" s="80" t="s">
        <v>698</v>
      </c>
      <c r="D60" s="80"/>
      <c r="E60" s="28">
        <f>'Stavební rozpočet'!H841</f>
        <v>0</v>
      </c>
      <c r="F60" s="28">
        <f>'Stavební rozpočet'!I841</f>
        <v>0</v>
      </c>
      <c r="G60" s="28">
        <f>'Stavební rozpočet'!J841</f>
        <v>0</v>
      </c>
      <c r="H60" s="30" t="s">
        <v>2369</v>
      </c>
      <c r="I60" s="28">
        <f t="shared" si="1"/>
        <v>0</v>
      </c>
    </row>
    <row r="61" spans="1:9" x14ac:dyDescent="0.25">
      <c r="A61" s="2" t="s">
        <v>1466</v>
      </c>
      <c r="B61" s="3" t="s">
        <v>434</v>
      </c>
      <c r="C61" s="80" t="s">
        <v>1513</v>
      </c>
      <c r="D61" s="80"/>
      <c r="E61" s="28">
        <f>'Stavební rozpočet'!H857</f>
        <v>0</v>
      </c>
      <c r="F61" s="28">
        <f>'Stavební rozpočet'!I857</f>
        <v>0</v>
      </c>
      <c r="G61" s="28">
        <f>'Stavební rozpočet'!J857</f>
        <v>0</v>
      </c>
      <c r="H61" s="30" t="s">
        <v>2369</v>
      </c>
      <c r="I61" s="28">
        <f t="shared" si="1"/>
        <v>0</v>
      </c>
    </row>
    <row r="62" spans="1:9" x14ac:dyDescent="0.25">
      <c r="A62" s="2" t="s">
        <v>1466</v>
      </c>
      <c r="B62" s="3" t="s">
        <v>670</v>
      </c>
      <c r="C62" s="80" t="s">
        <v>1524</v>
      </c>
      <c r="D62" s="80"/>
      <c r="E62" s="28">
        <f>'Stavební rozpočet'!H865</f>
        <v>0</v>
      </c>
      <c r="F62" s="28">
        <f>'Stavební rozpočet'!I865</f>
        <v>0</v>
      </c>
      <c r="G62" s="28">
        <f>'Stavební rozpočet'!J865</f>
        <v>0</v>
      </c>
      <c r="H62" s="30" t="s">
        <v>2369</v>
      </c>
      <c r="I62" s="28">
        <f t="shared" si="1"/>
        <v>0</v>
      </c>
    </row>
    <row r="63" spans="1:9" x14ac:dyDescent="0.25">
      <c r="A63" s="2" t="s">
        <v>1466</v>
      </c>
      <c r="B63" s="3" t="s">
        <v>221</v>
      </c>
      <c r="C63" s="80" t="s">
        <v>222</v>
      </c>
      <c r="D63" s="80"/>
      <c r="E63" s="28">
        <f>'Stavební rozpočet'!H872</f>
        <v>0</v>
      </c>
      <c r="F63" s="28">
        <f>'Stavební rozpočet'!I872</f>
        <v>0</v>
      </c>
      <c r="G63" s="28">
        <f>'Stavební rozpočet'!J872</f>
        <v>0</v>
      </c>
      <c r="H63" s="30" t="s">
        <v>2369</v>
      </c>
      <c r="I63" s="28">
        <f t="shared" si="1"/>
        <v>0</v>
      </c>
    </row>
    <row r="64" spans="1:9" x14ac:dyDescent="0.25">
      <c r="A64" s="73" t="s">
        <v>1547</v>
      </c>
      <c r="B64" s="71" t="s">
        <v>52</v>
      </c>
      <c r="C64" s="131" t="s">
        <v>1545</v>
      </c>
      <c r="D64" s="131"/>
      <c r="E64" s="74">
        <f>'Stavební rozpočet'!H877</f>
        <v>0</v>
      </c>
      <c r="F64" s="74">
        <f>'Stavební rozpočet'!I877</f>
        <v>0</v>
      </c>
      <c r="G64" s="74">
        <f>'Stavební rozpočet'!J877</f>
        <v>0</v>
      </c>
      <c r="H64" s="30" t="s">
        <v>2368</v>
      </c>
      <c r="I64" s="28">
        <f t="shared" si="1"/>
        <v>0</v>
      </c>
    </row>
    <row r="65" spans="1:9" x14ac:dyDescent="0.25">
      <c r="A65" s="2" t="s">
        <v>1547</v>
      </c>
      <c r="B65" s="3" t="s">
        <v>84</v>
      </c>
      <c r="C65" s="80" t="s">
        <v>1546</v>
      </c>
      <c r="D65" s="80"/>
      <c r="E65" s="28">
        <f>'Stavební rozpočet'!H878</f>
        <v>0</v>
      </c>
      <c r="F65" s="28">
        <f>'Stavební rozpočet'!I878</f>
        <v>0</v>
      </c>
      <c r="G65" s="28">
        <f>'Stavební rozpočet'!J878</f>
        <v>0</v>
      </c>
      <c r="H65" s="30" t="s">
        <v>2369</v>
      </c>
      <c r="I65" s="28">
        <f t="shared" si="1"/>
        <v>0</v>
      </c>
    </row>
    <row r="66" spans="1:9" x14ac:dyDescent="0.25">
      <c r="A66" s="2" t="s">
        <v>1547</v>
      </c>
      <c r="B66" s="3" t="s">
        <v>129</v>
      </c>
      <c r="C66" s="80" t="s">
        <v>235</v>
      </c>
      <c r="D66" s="80"/>
      <c r="E66" s="28">
        <f>'Stavební rozpočet'!H883</f>
        <v>0</v>
      </c>
      <c r="F66" s="28">
        <f>'Stavební rozpočet'!I883</f>
        <v>0</v>
      </c>
      <c r="G66" s="28">
        <f>'Stavební rozpočet'!J883</f>
        <v>0</v>
      </c>
      <c r="H66" s="30" t="s">
        <v>2369</v>
      </c>
      <c r="I66" s="28">
        <f t="shared" si="1"/>
        <v>0</v>
      </c>
    </row>
    <row r="67" spans="1:9" x14ac:dyDescent="0.25">
      <c r="A67" s="2" t="s">
        <v>1547</v>
      </c>
      <c r="B67" s="3" t="s">
        <v>54</v>
      </c>
      <c r="C67" s="80" t="s">
        <v>55</v>
      </c>
      <c r="D67" s="80"/>
      <c r="E67" s="28">
        <f>'Stavební rozpočet'!H896</f>
        <v>0</v>
      </c>
      <c r="F67" s="28">
        <f>'Stavební rozpočet'!I896</f>
        <v>0</v>
      </c>
      <c r="G67" s="28">
        <f>'Stavební rozpočet'!J896</f>
        <v>0</v>
      </c>
      <c r="H67" s="30" t="s">
        <v>2369</v>
      </c>
      <c r="I67" s="28">
        <f t="shared" si="1"/>
        <v>0</v>
      </c>
    </row>
    <row r="68" spans="1:9" x14ac:dyDescent="0.25">
      <c r="A68" s="2" t="s">
        <v>1547</v>
      </c>
      <c r="B68" s="3" t="s">
        <v>1597</v>
      </c>
      <c r="C68" s="80" t="s">
        <v>1598</v>
      </c>
      <c r="D68" s="80"/>
      <c r="E68" s="28">
        <f>'Stavební rozpočet'!H904</f>
        <v>0</v>
      </c>
      <c r="F68" s="28">
        <f>'Stavební rozpočet'!I904</f>
        <v>0</v>
      </c>
      <c r="G68" s="28">
        <f>'Stavební rozpočet'!J904</f>
        <v>0</v>
      </c>
      <c r="H68" s="30" t="s">
        <v>2369</v>
      </c>
      <c r="I68" s="28">
        <f t="shared" si="1"/>
        <v>0</v>
      </c>
    </row>
    <row r="69" spans="1:9" x14ac:dyDescent="0.25">
      <c r="A69" s="2" t="s">
        <v>1547</v>
      </c>
      <c r="B69" s="3" t="s">
        <v>140</v>
      </c>
      <c r="C69" s="80" t="s">
        <v>1605</v>
      </c>
      <c r="D69" s="80"/>
      <c r="E69" s="28">
        <f>'Stavební rozpočet'!H907</f>
        <v>0</v>
      </c>
      <c r="F69" s="28">
        <f>'Stavební rozpočet'!I907</f>
        <v>0</v>
      </c>
      <c r="G69" s="28">
        <f>'Stavební rozpočet'!J907</f>
        <v>0</v>
      </c>
      <c r="H69" s="30" t="s">
        <v>2369</v>
      </c>
      <c r="I69" s="28">
        <f t="shared" si="1"/>
        <v>0</v>
      </c>
    </row>
    <row r="70" spans="1:9" x14ac:dyDescent="0.25">
      <c r="A70" s="2" t="s">
        <v>1547</v>
      </c>
      <c r="B70" s="3" t="s">
        <v>132</v>
      </c>
      <c r="C70" s="80" t="s">
        <v>133</v>
      </c>
      <c r="D70" s="80"/>
      <c r="E70" s="28">
        <f>'Stavební rozpočet'!H913</f>
        <v>0</v>
      </c>
      <c r="F70" s="28">
        <f>'Stavební rozpočet'!I913</f>
        <v>0</v>
      </c>
      <c r="G70" s="28">
        <f>'Stavební rozpočet'!J913</f>
        <v>0</v>
      </c>
      <c r="H70" s="30" t="s">
        <v>2369</v>
      </c>
      <c r="I70" s="28">
        <f t="shared" si="1"/>
        <v>0</v>
      </c>
    </row>
    <row r="71" spans="1:9" x14ac:dyDescent="0.25">
      <c r="A71" s="2" t="s">
        <v>1547</v>
      </c>
      <c r="B71" s="3" t="s">
        <v>1663</v>
      </c>
      <c r="C71" s="80" t="s">
        <v>1664</v>
      </c>
      <c r="D71" s="80"/>
      <c r="E71" s="28">
        <f>'Stavební rozpočet'!H937</f>
        <v>0</v>
      </c>
      <c r="F71" s="28">
        <f>'Stavební rozpočet'!I937</f>
        <v>0</v>
      </c>
      <c r="G71" s="28">
        <f>'Stavební rozpočet'!J937</f>
        <v>0</v>
      </c>
      <c r="H71" s="30" t="s">
        <v>2369</v>
      </c>
      <c r="I71" s="28">
        <f t="shared" si="1"/>
        <v>0</v>
      </c>
    </row>
    <row r="72" spans="1:9" x14ac:dyDescent="0.25">
      <c r="A72" s="2" t="s">
        <v>1547</v>
      </c>
      <c r="B72" s="3" t="s">
        <v>1709</v>
      </c>
      <c r="C72" s="80" t="s">
        <v>1710</v>
      </c>
      <c r="D72" s="80"/>
      <c r="E72" s="28">
        <f>'Stavební rozpočet'!H962</f>
        <v>0</v>
      </c>
      <c r="F72" s="28">
        <f>'Stavební rozpočet'!I962</f>
        <v>0</v>
      </c>
      <c r="G72" s="28">
        <f>'Stavební rozpočet'!J962</f>
        <v>0</v>
      </c>
      <c r="H72" s="30" t="s">
        <v>2369</v>
      </c>
      <c r="I72" s="28">
        <f t="shared" si="1"/>
        <v>0</v>
      </c>
    </row>
    <row r="73" spans="1:9" x14ac:dyDescent="0.25">
      <c r="A73" s="2" t="s">
        <v>1547</v>
      </c>
      <c r="B73" s="3" t="s">
        <v>1745</v>
      </c>
      <c r="C73" s="80" t="s">
        <v>1746</v>
      </c>
      <c r="D73" s="80"/>
      <c r="E73" s="28">
        <f>'Stavební rozpočet'!H983</f>
        <v>0</v>
      </c>
      <c r="F73" s="28">
        <f>'Stavební rozpočet'!I983</f>
        <v>0</v>
      </c>
      <c r="G73" s="28">
        <f>'Stavební rozpočet'!J983</f>
        <v>0</v>
      </c>
      <c r="H73" s="30" t="s">
        <v>2369</v>
      </c>
      <c r="I73" s="28">
        <f t="shared" si="1"/>
        <v>0</v>
      </c>
    </row>
    <row r="74" spans="1:9" x14ac:dyDescent="0.25">
      <c r="A74" s="2" t="s">
        <v>1547</v>
      </c>
      <c r="B74" s="3" t="s">
        <v>624</v>
      </c>
      <c r="C74" s="80" t="s">
        <v>1826</v>
      </c>
      <c r="D74" s="80"/>
      <c r="E74" s="28">
        <f>'Stavební rozpočet'!H1033</f>
        <v>0</v>
      </c>
      <c r="F74" s="28">
        <f>'Stavební rozpočet'!I1033</f>
        <v>0</v>
      </c>
      <c r="G74" s="28">
        <f>'Stavební rozpočet'!J1033</f>
        <v>0</v>
      </c>
      <c r="H74" s="30" t="s">
        <v>2369</v>
      </c>
      <c r="I74" s="28">
        <f t="shared" si="1"/>
        <v>0</v>
      </c>
    </row>
    <row r="75" spans="1:9" x14ac:dyDescent="0.25">
      <c r="A75" s="73" t="s">
        <v>1856</v>
      </c>
      <c r="B75" s="71" t="s">
        <v>52</v>
      </c>
      <c r="C75" s="131" t="s">
        <v>1854</v>
      </c>
      <c r="D75" s="131"/>
      <c r="E75" s="74">
        <f>'Stavební rozpočet'!H1050</f>
        <v>0</v>
      </c>
      <c r="F75" s="74">
        <f>'Stavební rozpočet'!I1050</f>
        <v>0</v>
      </c>
      <c r="G75" s="74">
        <f>'Stavební rozpočet'!J1050</f>
        <v>0</v>
      </c>
      <c r="H75" s="30" t="s">
        <v>2368</v>
      </c>
      <c r="I75" s="28">
        <f t="shared" ref="I75:I102" si="2">IF(H75="F",0,G75)</f>
        <v>0</v>
      </c>
    </row>
    <row r="76" spans="1:9" x14ac:dyDescent="0.25">
      <c r="A76" s="2" t="s">
        <v>1856</v>
      </c>
      <c r="B76" s="3" t="s">
        <v>68</v>
      </c>
      <c r="C76" s="80" t="s">
        <v>1855</v>
      </c>
      <c r="D76" s="80"/>
      <c r="E76" s="28">
        <f>'Stavební rozpočet'!H1051</f>
        <v>0</v>
      </c>
      <c r="F76" s="28">
        <f>'Stavební rozpočet'!I1051</f>
        <v>0</v>
      </c>
      <c r="G76" s="28">
        <f>'Stavební rozpočet'!J1051</f>
        <v>0</v>
      </c>
      <c r="H76" s="30" t="s">
        <v>2369</v>
      </c>
      <c r="I76" s="28">
        <f t="shared" si="2"/>
        <v>0</v>
      </c>
    </row>
    <row r="77" spans="1:9" x14ac:dyDescent="0.25">
      <c r="A77" s="73" t="s">
        <v>1875</v>
      </c>
      <c r="B77" s="71" t="s">
        <v>52</v>
      </c>
      <c r="C77" s="131" t="s">
        <v>1873</v>
      </c>
      <c r="D77" s="131"/>
      <c r="E77" s="74">
        <f>'Stavební rozpočet'!H1056</f>
        <v>0</v>
      </c>
      <c r="F77" s="74">
        <f>'Stavební rozpočet'!I1056</f>
        <v>0</v>
      </c>
      <c r="G77" s="74">
        <f>'Stavební rozpočet'!J1056</f>
        <v>0</v>
      </c>
      <c r="H77" s="30" t="s">
        <v>2368</v>
      </c>
      <c r="I77" s="28">
        <f t="shared" si="2"/>
        <v>0</v>
      </c>
    </row>
    <row r="78" spans="1:9" x14ac:dyDescent="0.25">
      <c r="A78" s="2" t="s">
        <v>1875</v>
      </c>
      <c r="B78" s="3" t="s">
        <v>57</v>
      </c>
      <c r="C78" s="80" t="s">
        <v>1874</v>
      </c>
      <c r="D78" s="80"/>
      <c r="E78" s="28">
        <f>'Stavební rozpočet'!H1057</f>
        <v>0</v>
      </c>
      <c r="F78" s="28">
        <f>'Stavební rozpočet'!I1057</f>
        <v>0</v>
      </c>
      <c r="G78" s="28">
        <f>'Stavební rozpočet'!J1057</f>
        <v>0</v>
      </c>
      <c r="H78" s="30" t="s">
        <v>2369</v>
      </c>
      <c r="I78" s="28">
        <f t="shared" si="2"/>
        <v>0</v>
      </c>
    </row>
    <row r="79" spans="1:9" x14ac:dyDescent="0.25">
      <c r="A79" s="2" t="s">
        <v>1875</v>
      </c>
      <c r="B79" s="3" t="s">
        <v>75</v>
      </c>
      <c r="C79" s="80" t="s">
        <v>1890</v>
      </c>
      <c r="D79" s="80"/>
      <c r="E79" s="28">
        <f>'Stavební rozpočet'!H1062</f>
        <v>0</v>
      </c>
      <c r="F79" s="28">
        <f>'Stavební rozpočet'!I1062</f>
        <v>0</v>
      </c>
      <c r="G79" s="28">
        <f>'Stavební rozpočet'!J1062</f>
        <v>0</v>
      </c>
      <c r="H79" s="30" t="s">
        <v>2369</v>
      </c>
      <c r="I79" s="28">
        <f t="shared" si="2"/>
        <v>0</v>
      </c>
    </row>
    <row r="80" spans="1:9" x14ac:dyDescent="0.25">
      <c r="A80" s="2" t="s">
        <v>1875</v>
      </c>
      <c r="B80" s="3" t="s">
        <v>84</v>
      </c>
      <c r="C80" s="80" t="s">
        <v>1546</v>
      </c>
      <c r="D80" s="80"/>
      <c r="E80" s="28">
        <f>'Stavební rozpočet'!H1074</f>
        <v>0</v>
      </c>
      <c r="F80" s="28">
        <f>'Stavební rozpočet'!I1074</f>
        <v>0</v>
      </c>
      <c r="G80" s="28">
        <f>'Stavební rozpočet'!J1074</f>
        <v>0</v>
      </c>
      <c r="H80" s="30" t="s">
        <v>2369</v>
      </c>
      <c r="I80" s="28">
        <f t="shared" si="2"/>
        <v>0</v>
      </c>
    </row>
    <row r="81" spans="1:9" x14ac:dyDescent="0.25">
      <c r="A81" s="2" t="s">
        <v>1875</v>
      </c>
      <c r="B81" s="3" t="s">
        <v>87</v>
      </c>
      <c r="C81" s="80" t="s">
        <v>1955</v>
      </c>
      <c r="D81" s="80"/>
      <c r="E81" s="28">
        <f>'Stavební rozpočet'!H1085</f>
        <v>0</v>
      </c>
      <c r="F81" s="28">
        <f>'Stavební rozpočet'!I1085</f>
        <v>0</v>
      </c>
      <c r="G81" s="28">
        <f>'Stavební rozpočet'!J1085</f>
        <v>0</v>
      </c>
      <c r="H81" s="30" t="s">
        <v>2369</v>
      </c>
      <c r="I81" s="28">
        <f t="shared" si="2"/>
        <v>0</v>
      </c>
    </row>
    <row r="82" spans="1:9" x14ac:dyDescent="0.25">
      <c r="A82" s="2" t="s">
        <v>1875</v>
      </c>
      <c r="B82" s="3" t="s">
        <v>2010</v>
      </c>
      <c r="C82" s="80" t="s">
        <v>2011</v>
      </c>
      <c r="D82" s="80"/>
      <c r="E82" s="28">
        <f>'Stavební rozpočet'!H1104</f>
        <v>0</v>
      </c>
      <c r="F82" s="28">
        <f>'Stavební rozpočet'!I1104</f>
        <v>0</v>
      </c>
      <c r="G82" s="28">
        <f>'Stavební rozpočet'!J1104</f>
        <v>0</v>
      </c>
      <c r="H82" s="30" t="s">
        <v>2369</v>
      </c>
      <c r="I82" s="28">
        <f t="shared" si="2"/>
        <v>0</v>
      </c>
    </row>
    <row r="83" spans="1:9" x14ac:dyDescent="0.25">
      <c r="A83" s="73" t="s">
        <v>2024</v>
      </c>
      <c r="B83" s="71" t="s">
        <v>52</v>
      </c>
      <c r="C83" s="131" t="s">
        <v>2023</v>
      </c>
      <c r="D83" s="131"/>
      <c r="E83" s="74">
        <f>'Stavební rozpočet'!H1108</f>
        <v>0</v>
      </c>
      <c r="F83" s="74">
        <f>'Stavební rozpočet'!I1108</f>
        <v>0</v>
      </c>
      <c r="G83" s="74">
        <f>'Stavební rozpočet'!J1108</f>
        <v>0</v>
      </c>
      <c r="H83" s="30" t="s">
        <v>2368</v>
      </c>
      <c r="I83" s="28">
        <f t="shared" si="2"/>
        <v>0</v>
      </c>
    </row>
    <row r="84" spans="1:9" x14ac:dyDescent="0.25">
      <c r="A84" s="2" t="s">
        <v>2024</v>
      </c>
      <c r="B84" s="3" t="s">
        <v>129</v>
      </c>
      <c r="C84" s="80" t="s">
        <v>235</v>
      </c>
      <c r="D84" s="80"/>
      <c r="E84" s="28">
        <f>'Stavební rozpočet'!H1109</f>
        <v>0</v>
      </c>
      <c r="F84" s="28">
        <f>'Stavební rozpočet'!I1109</f>
        <v>0</v>
      </c>
      <c r="G84" s="28">
        <f>'Stavební rozpočet'!J1109</f>
        <v>0</v>
      </c>
      <c r="H84" s="30" t="s">
        <v>2369</v>
      </c>
      <c r="I84" s="28">
        <f t="shared" si="2"/>
        <v>0</v>
      </c>
    </row>
    <row r="85" spans="1:9" x14ac:dyDescent="0.25">
      <c r="A85" s="2" t="s">
        <v>2024</v>
      </c>
      <c r="B85" s="3" t="s">
        <v>145</v>
      </c>
      <c r="C85" s="80" t="s">
        <v>282</v>
      </c>
      <c r="D85" s="80"/>
      <c r="E85" s="28">
        <f>'Stavební rozpočet'!H1112</f>
        <v>0</v>
      </c>
      <c r="F85" s="28">
        <f>'Stavební rozpočet'!I1112</f>
        <v>0</v>
      </c>
      <c r="G85" s="28">
        <f>'Stavební rozpočet'!J1112</f>
        <v>0</v>
      </c>
      <c r="H85" s="30" t="s">
        <v>2369</v>
      </c>
      <c r="I85" s="28">
        <f t="shared" si="2"/>
        <v>0</v>
      </c>
    </row>
    <row r="86" spans="1:9" x14ac:dyDescent="0.25">
      <c r="A86" s="2" t="s">
        <v>2024</v>
      </c>
      <c r="B86" s="3" t="s">
        <v>54</v>
      </c>
      <c r="C86" s="80" t="s">
        <v>55</v>
      </c>
      <c r="D86" s="80"/>
      <c r="E86" s="28">
        <f>'Stavební rozpočet'!H1117</f>
        <v>0</v>
      </c>
      <c r="F86" s="28">
        <f>'Stavební rozpočet'!I1117</f>
        <v>0</v>
      </c>
      <c r="G86" s="28">
        <f>'Stavební rozpočet'!J1117</f>
        <v>0</v>
      </c>
      <c r="H86" s="30" t="s">
        <v>2369</v>
      </c>
      <c r="I86" s="28">
        <f t="shared" si="2"/>
        <v>0</v>
      </c>
    </row>
    <row r="87" spans="1:9" x14ac:dyDescent="0.25">
      <c r="A87" s="2" t="s">
        <v>2024</v>
      </c>
      <c r="B87" s="3" t="s">
        <v>2040</v>
      </c>
      <c r="C87" s="80" t="s">
        <v>2041</v>
      </c>
      <c r="D87" s="80"/>
      <c r="E87" s="28">
        <f>'Stavební rozpočet'!H1120</f>
        <v>0</v>
      </c>
      <c r="F87" s="28">
        <f>'Stavební rozpočet'!I1120</f>
        <v>0</v>
      </c>
      <c r="G87" s="28">
        <f>'Stavební rozpočet'!J1120</f>
        <v>0</v>
      </c>
      <c r="H87" s="30" t="s">
        <v>2369</v>
      </c>
      <c r="I87" s="28">
        <f t="shared" si="2"/>
        <v>0</v>
      </c>
    </row>
    <row r="88" spans="1:9" x14ac:dyDescent="0.25">
      <c r="A88" s="2" t="s">
        <v>2024</v>
      </c>
      <c r="B88" s="3" t="s">
        <v>309</v>
      </c>
      <c r="C88" s="80" t="s">
        <v>310</v>
      </c>
      <c r="D88" s="80"/>
      <c r="E88" s="28">
        <f>'Stavební rozpočet'!H1123</f>
        <v>0</v>
      </c>
      <c r="F88" s="28">
        <f>'Stavební rozpočet'!I1123</f>
        <v>0</v>
      </c>
      <c r="G88" s="28">
        <f>'Stavební rozpočet'!J1123</f>
        <v>0</v>
      </c>
      <c r="H88" s="30" t="s">
        <v>2369</v>
      </c>
      <c r="I88" s="28">
        <f t="shared" si="2"/>
        <v>0</v>
      </c>
    </row>
    <row r="89" spans="1:9" x14ac:dyDescent="0.25">
      <c r="A89" s="2" t="s">
        <v>2024</v>
      </c>
      <c r="B89" s="3" t="s">
        <v>73</v>
      </c>
      <c r="C89" s="80" t="s">
        <v>74</v>
      </c>
      <c r="D89" s="80"/>
      <c r="E89" s="28">
        <f>'Stavební rozpočet'!H1127</f>
        <v>0</v>
      </c>
      <c r="F89" s="28">
        <f>'Stavební rozpočet'!I1127</f>
        <v>0</v>
      </c>
      <c r="G89" s="28">
        <f>'Stavební rozpočet'!J1127</f>
        <v>0</v>
      </c>
      <c r="H89" s="30" t="s">
        <v>2369</v>
      </c>
      <c r="I89" s="28">
        <f t="shared" si="2"/>
        <v>0</v>
      </c>
    </row>
    <row r="90" spans="1:9" x14ac:dyDescent="0.25">
      <c r="A90" s="2" t="s">
        <v>2024</v>
      </c>
      <c r="B90" s="3" t="s">
        <v>82</v>
      </c>
      <c r="C90" s="80" t="s">
        <v>83</v>
      </c>
      <c r="D90" s="80"/>
      <c r="E90" s="28">
        <f>'Stavební rozpočet'!H1130</f>
        <v>0</v>
      </c>
      <c r="F90" s="28">
        <f>'Stavební rozpočet'!I1130</f>
        <v>0</v>
      </c>
      <c r="G90" s="28">
        <f>'Stavební rozpočet'!J1130</f>
        <v>0</v>
      </c>
      <c r="H90" s="30" t="s">
        <v>2369</v>
      </c>
      <c r="I90" s="28">
        <f t="shared" si="2"/>
        <v>0</v>
      </c>
    </row>
    <row r="91" spans="1:9" x14ac:dyDescent="0.25">
      <c r="A91" s="2" t="s">
        <v>2024</v>
      </c>
      <c r="B91" s="3" t="s">
        <v>2080</v>
      </c>
      <c r="C91" s="80" t="s">
        <v>2081</v>
      </c>
      <c r="D91" s="80"/>
      <c r="E91" s="28">
        <f>'Stavební rozpočet'!H1139</f>
        <v>0</v>
      </c>
      <c r="F91" s="28">
        <f>'Stavební rozpočet'!I1139</f>
        <v>0</v>
      </c>
      <c r="G91" s="28">
        <f>'Stavební rozpočet'!J1139</f>
        <v>0</v>
      </c>
      <c r="H91" s="30" t="s">
        <v>2369</v>
      </c>
      <c r="I91" s="28">
        <f t="shared" si="2"/>
        <v>0</v>
      </c>
    </row>
    <row r="92" spans="1:9" x14ac:dyDescent="0.25">
      <c r="A92" s="2" t="s">
        <v>2024</v>
      </c>
      <c r="B92" s="3" t="s">
        <v>2109</v>
      </c>
      <c r="C92" s="80" t="s">
        <v>2110</v>
      </c>
      <c r="D92" s="80"/>
      <c r="E92" s="28">
        <f>'Stavební rozpočet'!H1149</f>
        <v>0</v>
      </c>
      <c r="F92" s="28">
        <f>'Stavební rozpočet'!I1149</f>
        <v>0</v>
      </c>
      <c r="G92" s="28">
        <f>'Stavební rozpočet'!J1149</f>
        <v>0</v>
      </c>
      <c r="H92" s="30" t="s">
        <v>2369</v>
      </c>
      <c r="I92" s="28">
        <f t="shared" si="2"/>
        <v>0</v>
      </c>
    </row>
    <row r="93" spans="1:9" x14ac:dyDescent="0.25">
      <c r="A93" s="2" t="s">
        <v>2024</v>
      </c>
      <c r="B93" s="3" t="s">
        <v>2118</v>
      </c>
      <c r="C93" s="80" t="s">
        <v>2119</v>
      </c>
      <c r="D93" s="80"/>
      <c r="E93" s="28">
        <f>'Stavební rozpočet'!H1153</f>
        <v>0</v>
      </c>
      <c r="F93" s="28">
        <f>'Stavební rozpočet'!I1153</f>
        <v>0</v>
      </c>
      <c r="G93" s="28">
        <f>'Stavební rozpočet'!J1153</f>
        <v>0</v>
      </c>
      <c r="H93" s="30" t="s">
        <v>2369</v>
      </c>
      <c r="I93" s="28">
        <f t="shared" si="2"/>
        <v>0</v>
      </c>
    </row>
    <row r="94" spans="1:9" x14ac:dyDescent="0.25">
      <c r="A94" s="2" t="s">
        <v>2024</v>
      </c>
      <c r="B94" s="3" t="s">
        <v>2135</v>
      </c>
      <c r="C94" s="80" t="s">
        <v>2136</v>
      </c>
      <c r="D94" s="80"/>
      <c r="E94" s="28">
        <f>'Stavební rozpočet'!H1159</f>
        <v>0</v>
      </c>
      <c r="F94" s="28">
        <f>'Stavební rozpočet'!I1159</f>
        <v>0</v>
      </c>
      <c r="G94" s="28">
        <f>'Stavební rozpočet'!J1159</f>
        <v>0</v>
      </c>
      <c r="H94" s="30" t="s">
        <v>2369</v>
      </c>
      <c r="I94" s="28">
        <f t="shared" si="2"/>
        <v>0</v>
      </c>
    </row>
    <row r="95" spans="1:9" x14ac:dyDescent="0.25">
      <c r="A95" s="2" t="s">
        <v>2024</v>
      </c>
      <c r="B95" s="3" t="s">
        <v>2161</v>
      </c>
      <c r="C95" s="80" t="s">
        <v>2162</v>
      </c>
      <c r="D95" s="80"/>
      <c r="E95" s="28">
        <f>'Stavební rozpočet'!H1168</f>
        <v>0</v>
      </c>
      <c r="F95" s="28">
        <f>'Stavební rozpočet'!I1168</f>
        <v>0</v>
      </c>
      <c r="G95" s="28">
        <f>'Stavební rozpočet'!J1168</f>
        <v>0</v>
      </c>
      <c r="H95" s="30" t="s">
        <v>2369</v>
      </c>
      <c r="I95" s="28">
        <f t="shared" si="2"/>
        <v>0</v>
      </c>
    </row>
    <row r="96" spans="1:9" x14ac:dyDescent="0.25">
      <c r="A96" s="2" t="s">
        <v>2024</v>
      </c>
      <c r="B96" s="3" t="s">
        <v>2170</v>
      </c>
      <c r="C96" s="80" t="s">
        <v>2171</v>
      </c>
      <c r="D96" s="80"/>
      <c r="E96" s="28">
        <f>'Stavební rozpočet'!H1172</f>
        <v>0</v>
      </c>
      <c r="F96" s="28">
        <f>'Stavební rozpočet'!I1172</f>
        <v>0</v>
      </c>
      <c r="G96" s="28">
        <f>'Stavební rozpočet'!J1172</f>
        <v>0</v>
      </c>
      <c r="H96" s="30" t="s">
        <v>2369</v>
      </c>
      <c r="I96" s="28">
        <f t="shared" si="2"/>
        <v>0</v>
      </c>
    </row>
    <row r="97" spans="1:9" x14ac:dyDescent="0.25">
      <c r="A97" s="2" t="s">
        <v>2024</v>
      </c>
      <c r="B97" s="3" t="s">
        <v>2188</v>
      </c>
      <c r="C97" s="80" t="s">
        <v>2189</v>
      </c>
      <c r="D97" s="80"/>
      <c r="E97" s="28">
        <f>'Stavební rozpočet'!H1179</f>
        <v>0</v>
      </c>
      <c r="F97" s="28">
        <f>'Stavební rozpočet'!I1179</f>
        <v>0</v>
      </c>
      <c r="G97" s="28">
        <f>'Stavební rozpočet'!J1179</f>
        <v>0</v>
      </c>
      <c r="H97" s="30" t="s">
        <v>2369</v>
      </c>
      <c r="I97" s="28">
        <f t="shared" si="2"/>
        <v>0</v>
      </c>
    </row>
    <row r="98" spans="1:9" x14ac:dyDescent="0.25">
      <c r="A98" s="2" t="s">
        <v>2024</v>
      </c>
      <c r="B98" s="3" t="s">
        <v>2234</v>
      </c>
      <c r="C98" s="80" t="s">
        <v>2235</v>
      </c>
      <c r="D98" s="80"/>
      <c r="E98" s="28">
        <f>'Stavební rozpočet'!H1196</f>
        <v>0</v>
      </c>
      <c r="F98" s="28">
        <f>'Stavební rozpočet'!I1196</f>
        <v>0</v>
      </c>
      <c r="G98" s="28">
        <f>'Stavební rozpočet'!J1196</f>
        <v>0</v>
      </c>
      <c r="H98" s="30" t="s">
        <v>2369</v>
      </c>
      <c r="I98" s="28">
        <f t="shared" si="2"/>
        <v>0</v>
      </c>
    </row>
    <row r="99" spans="1:9" x14ac:dyDescent="0.25">
      <c r="A99" s="2" t="s">
        <v>2024</v>
      </c>
      <c r="B99" s="3" t="s">
        <v>2293</v>
      </c>
      <c r="C99" s="80" t="s">
        <v>1598</v>
      </c>
      <c r="D99" s="80"/>
      <c r="E99" s="28">
        <f>'Stavební rozpočet'!H1217</f>
        <v>0</v>
      </c>
      <c r="F99" s="28">
        <f>'Stavební rozpočet'!I1217</f>
        <v>0</v>
      </c>
      <c r="G99" s="28">
        <f>'Stavební rozpočet'!J1217</f>
        <v>0</v>
      </c>
      <c r="H99" s="30" t="s">
        <v>2369</v>
      </c>
      <c r="I99" s="28">
        <f t="shared" si="2"/>
        <v>0</v>
      </c>
    </row>
    <row r="100" spans="1:9" x14ac:dyDescent="0.25">
      <c r="A100" s="73" t="s">
        <v>2314</v>
      </c>
      <c r="B100" s="71" t="s">
        <v>52</v>
      </c>
      <c r="C100" s="131" t="s">
        <v>2312</v>
      </c>
      <c r="D100" s="131"/>
      <c r="E100" s="74">
        <f>'Stavební rozpočet'!H1224</f>
        <v>0</v>
      </c>
      <c r="F100" s="74">
        <f>'Stavební rozpočet'!I1224</f>
        <v>0</v>
      </c>
      <c r="G100" s="74">
        <f>'Stavební rozpočet'!J1224</f>
        <v>0</v>
      </c>
      <c r="H100" s="30" t="s">
        <v>2368</v>
      </c>
      <c r="I100" s="28">
        <f t="shared" si="2"/>
        <v>0</v>
      </c>
    </row>
    <row r="101" spans="1:9" x14ac:dyDescent="0.25">
      <c r="A101" s="2" t="s">
        <v>2314</v>
      </c>
      <c r="B101" s="3" t="s">
        <v>52</v>
      </c>
      <c r="C101" s="80" t="s">
        <v>2313</v>
      </c>
      <c r="D101" s="80"/>
      <c r="E101" s="28">
        <f>'Stavební rozpočet'!H1225</f>
        <v>0</v>
      </c>
      <c r="F101" s="28">
        <f>'Stavební rozpočet'!I1225</f>
        <v>0</v>
      </c>
      <c r="G101" s="28">
        <f>'Stavební rozpočet'!J1225</f>
        <v>0</v>
      </c>
      <c r="H101" s="30" t="s">
        <v>2368</v>
      </c>
      <c r="I101" s="28">
        <f t="shared" si="2"/>
        <v>0</v>
      </c>
    </row>
    <row r="102" spans="1:9" x14ac:dyDescent="0.25">
      <c r="A102" s="2" t="s">
        <v>2314</v>
      </c>
      <c r="B102" s="3" t="s">
        <v>2315</v>
      </c>
      <c r="C102" s="80" t="s">
        <v>2316</v>
      </c>
      <c r="D102" s="80"/>
      <c r="E102" s="28">
        <f>'Stavební rozpočet'!H1226</f>
        <v>0</v>
      </c>
      <c r="F102" s="28">
        <f>'Stavební rozpočet'!I1226</f>
        <v>0</v>
      </c>
      <c r="G102" s="28">
        <f>'Stavební rozpočet'!J1226</f>
        <v>0</v>
      </c>
      <c r="H102" s="30" t="s">
        <v>2369</v>
      </c>
      <c r="I102" s="28">
        <f t="shared" si="2"/>
        <v>0</v>
      </c>
    </row>
    <row r="103" spans="1:9" x14ac:dyDescent="0.25">
      <c r="F103" s="4" t="s">
        <v>2360</v>
      </c>
      <c r="G103" s="46">
        <f>SUM(I11:I102)</f>
        <v>0</v>
      </c>
    </row>
  </sheetData>
  <mergeCells count="117">
    <mergeCell ref="C102:D102"/>
    <mergeCell ref="C97:D97"/>
    <mergeCell ref="C98:D98"/>
    <mergeCell ref="C99:D99"/>
    <mergeCell ref="C100:D100"/>
    <mergeCell ref="C101:D101"/>
    <mergeCell ref="C92:D92"/>
    <mergeCell ref="C93:D93"/>
    <mergeCell ref="C94:D94"/>
    <mergeCell ref="C95:D95"/>
    <mergeCell ref="C96:D96"/>
    <mergeCell ref="C87:D87"/>
    <mergeCell ref="C88:D88"/>
    <mergeCell ref="C89:D89"/>
    <mergeCell ref="C90:D90"/>
    <mergeCell ref="C91:D91"/>
    <mergeCell ref="C82:D82"/>
    <mergeCell ref="C83:D83"/>
    <mergeCell ref="C84:D84"/>
    <mergeCell ref="C85:D85"/>
    <mergeCell ref="C86:D86"/>
    <mergeCell ref="C77:D77"/>
    <mergeCell ref="C78:D78"/>
    <mergeCell ref="C79:D79"/>
    <mergeCell ref="C80:D80"/>
    <mergeCell ref="C81:D81"/>
    <mergeCell ref="C72:D72"/>
    <mergeCell ref="C73:D73"/>
    <mergeCell ref="C74:D74"/>
    <mergeCell ref="C75:D75"/>
    <mergeCell ref="C76:D76"/>
    <mergeCell ref="C67:D67"/>
    <mergeCell ref="C68:D68"/>
    <mergeCell ref="C69:D69"/>
    <mergeCell ref="C70:D70"/>
    <mergeCell ref="C71:D71"/>
    <mergeCell ref="C62:D62"/>
    <mergeCell ref="C63:D63"/>
    <mergeCell ref="C64:D64"/>
    <mergeCell ref="C65:D65"/>
    <mergeCell ref="C66:D66"/>
    <mergeCell ref="C57:D57"/>
    <mergeCell ref="C58:D58"/>
    <mergeCell ref="C59:D59"/>
    <mergeCell ref="C60:D60"/>
    <mergeCell ref="C61:D61"/>
    <mergeCell ref="C52:D52"/>
    <mergeCell ref="C53:D53"/>
    <mergeCell ref="C54:D54"/>
    <mergeCell ref="C55:D55"/>
    <mergeCell ref="C56:D56"/>
    <mergeCell ref="C47:D47"/>
    <mergeCell ref="C48:D48"/>
    <mergeCell ref="C49:D49"/>
    <mergeCell ref="C50:D50"/>
    <mergeCell ref="C51:D51"/>
    <mergeCell ref="C42:D42"/>
    <mergeCell ref="C43:D43"/>
    <mergeCell ref="C44:D44"/>
    <mergeCell ref="C45:D45"/>
    <mergeCell ref="C46:D46"/>
    <mergeCell ref="C38:D38"/>
    <mergeCell ref="C39:D39"/>
    <mergeCell ref="C40:D40"/>
    <mergeCell ref="C41:D41"/>
    <mergeCell ref="C32:D32"/>
    <mergeCell ref="C33:D33"/>
    <mergeCell ref="C34:D34"/>
    <mergeCell ref="C35:D35"/>
    <mergeCell ref="C36:D36"/>
    <mergeCell ref="C29:D29"/>
    <mergeCell ref="C30:D30"/>
    <mergeCell ref="C31:D31"/>
    <mergeCell ref="C22:D22"/>
    <mergeCell ref="C23:D23"/>
    <mergeCell ref="C24:D24"/>
    <mergeCell ref="C25:D25"/>
    <mergeCell ref="C26:D26"/>
    <mergeCell ref="C37:D37"/>
    <mergeCell ref="C20:D20"/>
    <mergeCell ref="C21:D21"/>
    <mergeCell ref="C12:D12"/>
    <mergeCell ref="C13:D13"/>
    <mergeCell ref="C14:D14"/>
    <mergeCell ref="C15:D15"/>
    <mergeCell ref="C16:D16"/>
    <mergeCell ref="C27:D27"/>
    <mergeCell ref="C28:D28"/>
    <mergeCell ref="C11:D11"/>
    <mergeCell ref="C8:C9"/>
    <mergeCell ref="E2:E3"/>
    <mergeCell ref="E4:E5"/>
    <mergeCell ref="E6:E7"/>
    <mergeCell ref="E8:E9"/>
    <mergeCell ref="C17:D17"/>
    <mergeCell ref="C18:D18"/>
    <mergeCell ref="C19:D19"/>
    <mergeCell ref="A1:G1"/>
    <mergeCell ref="A2:B3"/>
    <mergeCell ref="A4:B5"/>
    <mergeCell ref="A6:B7"/>
    <mergeCell ref="A8:B9"/>
    <mergeCell ref="D2:D3"/>
    <mergeCell ref="D4:D5"/>
    <mergeCell ref="D6:D7"/>
    <mergeCell ref="D8:D9"/>
    <mergeCell ref="F2:F3"/>
    <mergeCell ref="F4:F5"/>
    <mergeCell ref="F6:F7"/>
    <mergeCell ref="F8:F9"/>
    <mergeCell ref="C2:C3"/>
    <mergeCell ref="C4:C5"/>
    <mergeCell ref="C6:C7"/>
    <mergeCell ref="G2:G3"/>
    <mergeCell ref="G4:G5"/>
    <mergeCell ref="G6:G7"/>
    <mergeCell ref="G8:G9"/>
  </mergeCells>
  <pageMargins left="0.393999993801117" right="0.393999993801117" top="0.59100002050399802" bottom="0.59100002050399802" header="0" footer="0"/>
  <pageSetup scale="71"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BW1242"/>
  <sheetViews>
    <sheetView workbookViewId="0">
      <pane ySplit="11" topLeftCell="A12" activePane="bottomLeft" state="frozen"/>
      <selection pane="bottomLeft" activeCell="A1242" sqref="A1242:K1242"/>
    </sheetView>
  </sheetViews>
  <sheetFormatPr defaultColWidth="12.140625" defaultRowHeight="15" customHeight="1" x14ac:dyDescent="0.25"/>
  <cols>
    <col min="1" max="1" width="4" customWidth="1"/>
    <col min="2" max="2" width="17.85546875" customWidth="1"/>
    <col min="3" max="3" width="42.85546875" customWidth="1"/>
    <col min="4" max="4" width="35.7109375" customWidth="1"/>
    <col min="5" max="5" width="6.7109375" customWidth="1"/>
    <col min="6" max="6" width="12.85546875" customWidth="1"/>
    <col min="7" max="7" width="12" customWidth="1"/>
    <col min="8" max="10" width="15.7109375" customWidth="1"/>
    <col min="11" max="11" width="13.42578125" customWidth="1"/>
    <col min="25" max="75" width="12.140625" hidden="1"/>
  </cols>
  <sheetData>
    <row r="1" spans="1:75" ht="54.75" customHeight="1" x14ac:dyDescent="0.25">
      <c r="A1" s="76" t="s">
        <v>0</v>
      </c>
      <c r="B1" s="76"/>
      <c r="C1" s="76"/>
      <c r="D1" s="76"/>
      <c r="E1" s="76"/>
      <c r="F1" s="76"/>
      <c r="G1" s="76"/>
      <c r="H1" s="76"/>
      <c r="I1" s="76"/>
      <c r="J1" s="76"/>
      <c r="K1" s="76"/>
      <c r="AS1" s="1">
        <f>SUM(AJ1:AJ2)</f>
        <v>0</v>
      </c>
      <c r="AT1" s="1">
        <f>SUM(AK1:AK2)</f>
        <v>0</v>
      </c>
      <c r="AU1" s="1">
        <f>SUM(AL1:AL2)</f>
        <v>0</v>
      </c>
    </row>
    <row r="2" spans="1:75" x14ac:dyDescent="0.25">
      <c r="A2" s="77" t="s">
        <v>1</v>
      </c>
      <c r="B2" s="78"/>
      <c r="C2" s="87" t="s">
        <v>2</v>
      </c>
      <c r="D2" s="88"/>
      <c r="E2" s="78" t="s">
        <v>3</v>
      </c>
      <c r="F2" s="78"/>
      <c r="G2" s="78" t="s">
        <v>4</v>
      </c>
      <c r="H2" s="82" t="s">
        <v>5</v>
      </c>
      <c r="I2" s="82" t="s">
        <v>6</v>
      </c>
      <c r="J2" s="78"/>
      <c r="K2" s="84"/>
    </row>
    <row r="3" spans="1:75" x14ac:dyDescent="0.25">
      <c r="A3" s="79"/>
      <c r="B3" s="80"/>
      <c r="C3" s="89"/>
      <c r="D3" s="89"/>
      <c r="E3" s="80"/>
      <c r="F3" s="80"/>
      <c r="G3" s="80"/>
      <c r="H3" s="80"/>
      <c r="I3" s="80"/>
      <c r="J3" s="80"/>
      <c r="K3" s="85"/>
    </row>
    <row r="4" spans="1:75" x14ac:dyDescent="0.25">
      <c r="A4" s="81" t="s">
        <v>7</v>
      </c>
      <c r="B4" s="80"/>
      <c r="C4" s="83" t="s">
        <v>8</v>
      </c>
      <c r="D4" s="80"/>
      <c r="E4" s="80" t="s">
        <v>9</v>
      </c>
      <c r="F4" s="80"/>
      <c r="G4" s="80" t="s">
        <v>10</v>
      </c>
      <c r="H4" s="83" t="s">
        <v>11</v>
      </c>
      <c r="I4" s="83" t="s">
        <v>12</v>
      </c>
      <c r="J4" s="80"/>
      <c r="K4" s="85"/>
    </row>
    <row r="5" spans="1:75" x14ac:dyDescent="0.25">
      <c r="A5" s="79"/>
      <c r="B5" s="80"/>
      <c r="C5" s="80"/>
      <c r="D5" s="80"/>
      <c r="E5" s="80"/>
      <c r="F5" s="80"/>
      <c r="G5" s="80"/>
      <c r="H5" s="80"/>
      <c r="I5" s="80"/>
      <c r="J5" s="80"/>
      <c r="K5" s="85"/>
    </row>
    <row r="6" spans="1:75" x14ac:dyDescent="0.25">
      <c r="A6" s="81" t="s">
        <v>13</v>
      </c>
      <c r="B6" s="80"/>
      <c r="C6" s="83" t="s">
        <v>14</v>
      </c>
      <c r="D6" s="80"/>
      <c r="E6" s="80" t="s">
        <v>15</v>
      </c>
      <c r="F6" s="80"/>
      <c r="G6" s="80" t="s">
        <v>4</v>
      </c>
      <c r="H6" s="83" t="s">
        <v>16</v>
      </c>
      <c r="I6" s="83" t="s">
        <v>17</v>
      </c>
      <c r="J6" s="80"/>
      <c r="K6" s="85"/>
    </row>
    <row r="7" spans="1:75" x14ac:dyDescent="0.25">
      <c r="A7" s="79"/>
      <c r="B7" s="80"/>
      <c r="C7" s="80"/>
      <c r="D7" s="80"/>
      <c r="E7" s="80"/>
      <c r="F7" s="80"/>
      <c r="G7" s="80"/>
      <c r="H7" s="80"/>
      <c r="I7" s="80"/>
      <c r="J7" s="80"/>
      <c r="K7" s="85"/>
    </row>
    <row r="8" spans="1:75" x14ac:dyDescent="0.25">
      <c r="A8" s="81" t="s">
        <v>18</v>
      </c>
      <c r="B8" s="80"/>
      <c r="C8" s="83" t="s">
        <v>19</v>
      </c>
      <c r="D8" s="80"/>
      <c r="E8" s="80" t="s">
        <v>20</v>
      </c>
      <c r="F8" s="80"/>
      <c r="G8" s="80" t="s">
        <v>21</v>
      </c>
      <c r="H8" s="83" t="s">
        <v>22</v>
      </c>
      <c r="I8" s="83" t="s">
        <v>12</v>
      </c>
      <c r="J8" s="80"/>
      <c r="K8" s="85"/>
    </row>
    <row r="9" spans="1:75" x14ac:dyDescent="0.25">
      <c r="A9" s="127"/>
      <c r="B9" s="128"/>
      <c r="C9" s="128"/>
      <c r="D9" s="128"/>
      <c r="E9" s="128"/>
      <c r="F9" s="128"/>
      <c r="G9" s="128"/>
      <c r="H9" s="128"/>
      <c r="I9" s="128"/>
      <c r="J9" s="128"/>
      <c r="K9" s="130"/>
    </row>
    <row r="10" spans="1:75" x14ac:dyDescent="0.25">
      <c r="A10" s="5" t="s">
        <v>23</v>
      </c>
      <c r="B10" s="6" t="s">
        <v>24</v>
      </c>
      <c r="C10" s="141" t="s">
        <v>25</v>
      </c>
      <c r="D10" s="142"/>
      <c r="E10" s="6" t="s">
        <v>26</v>
      </c>
      <c r="F10" s="7" t="s">
        <v>27</v>
      </c>
      <c r="G10" s="8" t="s">
        <v>28</v>
      </c>
      <c r="H10" s="134" t="s">
        <v>29</v>
      </c>
      <c r="I10" s="135"/>
      <c r="J10" s="136"/>
      <c r="K10" s="9" t="s">
        <v>30</v>
      </c>
      <c r="BK10" s="10" t="s">
        <v>31</v>
      </c>
      <c r="BL10" s="11" t="s">
        <v>32</v>
      </c>
      <c r="BW10" s="11" t="s">
        <v>33</v>
      </c>
    </row>
    <row r="11" spans="1:75" x14ac:dyDescent="0.25">
      <c r="A11" s="12" t="s">
        <v>4</v>
      </c>
      <c r="B11" s="13" t="s">
        <v>4</v>
      </c>
      <c r="C11" s="132" t="s">
        <v>34</v>
      </c>
      <c r="D11" s="133"/>
      <c r="E11" s="13" t="s">
        <v>4</v>
      </c>
      <c r="F11" s="13" t="s">
        <v>4</v>
      </c>
      <c r="G11" s="14" t="s">
        <v>35</v>
      </c>
      <c r="H11" s="15" t="s">
        <v>36</v>
      </c>
      <c r="I11" s="16" t="s">
        <v>37</v>
      </c>
      <c r="J11" s="17" t="s">
        <v>38</v>
      </c>
      <c r="K11" s="18" t="s">
        <v>39</v>
      </c>
      <c r="Z11" s="10" t="s">
        <v>40</v>
      </c>
      <c r="AA11" s="10" t="s">
        <v>41</v>
      </c>
      <c r="AB11" s="10" t="s">
        <v>42</v>
      </c>
      <c r="AC11" s="10" t="s">
        <v>43</v>
      </c>
      <c r="AD11" s="10" t="s">
        <v>44</v>
      </c>
      <c r="AE11" s="10" t="s">
        <v>45</v>
      </c>
      <c r="AF11" s="10" t="s">
        <v>46</v>
      </c>
      <c r="AG11" s="10" t="s">
        <v>47</v>
      </c>
      <c r="AH11" s="10" t="s">
        <v>48</v>
      </c>
      <c r="BH11" s="10" t="s">
        <v>49</v>
      </c>
      <c r="BI11" s="10" t="s">
        <v>50</v>
      </c>
      <c r="BJ11" s="10" t="s">
        <v>51</v>
      </c>
    </row>
    <row r="12" spans="1:75" x14ac:dyDescent="0.25">
      <c r="A12" s="19" t="s">
        <v>52</v>
      </c>
      <c r="B12" s="20" t="s">
        <v>52</v>
      </c>
      <c r="C12" s="137" t="s">
        <v>53</v>
      </c>
      <c r="D12" s="138"/>
      <c r="E12" s="21" t="s">
        <v>4</v>
      </c>
      <c r="F12" s="21" t="s">
        <v>4</v>
      </c>
      <c r="G12" s="21" t="s">
        <v>4</v>
      </c>
      <c r="H12" s="22">
        <f>H13+H19+H22+H39+H44+H47+H50+H55+H61+H84+H86</f>
        <v>0</v>
      </c>
      <c r="I12" s="22">
        <f>I13+I19+I22+I39+I44+I47+I50+I55+I61+I84+I86</f>
        <v>0</v>
      </c>
      <c r="J12" s="22">
        <f>J13+J19+J22+J39+J44+J47+J50+J55+J61+J84+J86</f>
        <v>0</v>
      </c>
      <c r="K12" s="23" t="s">
        <v>52</v>
      </c>
    </row>
    <row r="13" spans="1:75" x14ac:dyDescent="0.25">
      <c r="A13" s="24" t="s">
        <v>52</v>
      </c>
      <c r="B13" s="25" t="s">
        <v>54</v>
      </c>
      <c r="C13" s="139" t="s">
        <v>55</v>
      </c>
      <c r="D13" s="140"/>
      <c r="E13" s="26" t="s">
        <v>4</v>
      </c>
      <c r="F13" s="26" t="s">
        <v>4</v>
      </c>
      <c r="G13" s="26" t="s">
        <v>4</v>
      </c>
      <c r="H13" s="1">
        <f>SUM(H14:H17)</f>
        <v>0</v>
      </c>
      <c r="I13" s="1">
        <f>SUM(I14:I17)</f>
        <v>0</v>
      </c>
      <c r="J13" s="1">
        <f>SUM(J14:J17)</f>
        <v>0</v>
      </c>
      <c r="K13" s="27" t="s">
        <v>52</v>
      </c>
      <c r="AI13" s="10" t="s">
        <v>56</v>
      </c>
      <c r="AS13" s="1">
        <f>SUM(AJ14:AJ17)</f>
        <v>0</v>
      </c>
      <c r="AT13" s="1">
        <f>SUM(AK14:AK17)</f>
        <v>0</v>
      </c>
      <c r="AU13" s="1">
        <f>SUM(AL14:AL17)</f>
        <v>0</v>
      </c>
    </row>
    <row r="14" spans="1:75" ht="13.5" customHeight="1" x14ac:dyDescent="0.25">
      <c r="A14" s="2" t="s">
        <v>57</v>
      </c>
      <c r="B14" s="3" t="s">
        <v>58</v>
      </c>
      <c r="C14" s="83" t="s">
        <v>59</v>
      </c>
      <c r="D14" s="80"/>
      <c r="E14" s="3" t="s">
        <v>60</v>
      </c>
      <c r="F14" s="28">
        <v>40</v>
      </c>
      <c r="G14" s="28">
        <v>0</v>
      </c>
      <c r="H14" s="28">
        <f>F14*AO14</f>
        <v>0</v>
      </c>
      <c r="I14" s="28">
        <f>F14*AP14</f>
        <v>0</v>
      </c>
      <c r="J14" s="28">
        <f>F14*G14</f>
        <v>0</v>
      </c>
      <c r="K14" s="29" t="s">
        <v>61</v>
      </c>
      <c r="Z14" s="28">
        <f>IF(AQ14="5",BJ14,0)</f>
        <v>0</v>
      </c>
      <c r="AB14" s="28">
        <f>IF(AQ14="1",BH14,0)</f>
        <v>0</v>
      </c>
      <c r="AC14" s="28">
        <f>IF(AQ14="1",BI14,0)</f>
        <v>0</v>
      </c>
      <c r="AD14" s="28">
        <f>IF(AQ14="7",BH14,0)</f>
        <v>0</v>
      </c>
      <c r="AE14" s="28">
        <f>IF(AQ14="7",BI14,0)</f>
        <v>0</v>
      </c>
      <c r="AF14" s="28">
        <f>IF(AQ14="2",BH14,0)</f>
        <v>0</v>
      </c>
      <c r="AG14" s="28">
        <f>IF(AQ14="2",BI14,0)</f>
        <v>0</v>
      </c>
      <c r="AH14" s="28">
        <f>IF(AQ14="0",BJ14,0)</f>
        <v>0</v>
      </c>
      <c r="AI14" s="10" t="s">
        <v>56</v>
      </c>
      <c r="AJ14" s="28">
        <f>IF(AN14=0,J14,0)</f>
        <v>0</v>
      </c>
      <c r="AK14" s="28">
        <f>IF(AN14=12,J14,0)</f>
        <v>0</v>
      </c>
      <c r="AL14" s="28">
        <f>IF(AN14=21,J14,0)</f>
        <v>0</v>
      </c>
      <c r="AN14" s="28">
        <v>21</v>
      </c>
      <c r="AO14" s="28">
        <f>G14*0</f>
        <v>0</v>
      </c>
      <c r="AP14" s="28">
        <f>G14*(1-0)</f>
        <v>0</v>
      </c>
      <c r="AQ14" s="30" t="s">
        <v>57</v>
      </c>
      <c r="AV14" s="28">
        <f>AW14+AX14</f>
        <v>0</v>
      </c>
      <c r="AW14" s="28">
        <f>F14*AO14</f>
        <v>0</v>
      </c>
      <c r="AX14" s="28">
        <f>F14*AP14</f>
        <v>0</v>
      </c>
      <c r="AY14" s="30" t="s">
        <v>62</v>
      </c>
      <c r="AZ14" s="30" t="s">
        <v>63</v>
      </c>
      <c r="BA14" s="10" t="s">
        <v>64</v>
      </c>
      <c r="BC14" s="28">
        <f>AW14+AX14</f>
        <v>0</v>
      </c>
      <c r="BD14" s="28">
        <f>G14/(100-BE14)*100</f>
        <v>0</v>
      </c>
      <c r="BE14" s="28">
        <v>0</v>
      </c>
      <c r="BF14" s="28">
        <f>14</f>
        <v>14</v>
      </c>
      <c r="BH14" s="28">
        <f>F14*AO14</f>
        <v>0</v>
      </c>
      <c r="BI14" s="28">
        <f>F14*AP14</f>
        <v>0</v>
      </c>
      <c r="BJ14" s="28">
        <f>F14*G14</f>
        <v>0</v>
      </c>
      <c r="BK14" s="28"/>
      <c r="BL14" s="28">
        <v>17</v>
      </c>
      <c r="BW14" s="28">
        <v>21</v>
      </c>
    </row>
    <row r="15" spans="1:75" x14ac:dyDescent="0.25">
      <c r="A15" s="31"/>
      <c r="C15" s="32" t="s">
        <v>65</v>
      </c>
      <c r="D15" s="32" t="s">
        <v>66</v>
      </c>
      <c r="F15" s="33">
        <v>40</v>
      </c>
      <c r="K15" s="34"/>
    </row>
    <row r="16" spans="1:75" x14ac:dyDescent="0.25">
      <c r="A16" s="31"/>
      <c r="C16" s="32" t="s">
        <v>52</v>
      </c>
      <c r="D16" s="32" t="s">
        <v>67</v>
      </c>
      <c r="F16" s="33">
        <v>0</v>
      </c>
      <c r="K16" s="34"/>
    </row>
    <row r="17" spans="1:75" ht="13.5" customHeight="1" x14ac:dyDescent="0.25">
      <c r="A17" s="2" t="s">
        <v>68</v>
      </c>
      <c r="B17" s="3" t="s">
        <v>69</v>
      </c>
      <c r="C17" s="83" t="s">
        <v>70</v>
      </c>
      <c r="D17" s="80"/>
      <c r="E17" s="3" t="s">
        <v>71</v>
      </c>
      <c r="F17" s="28">
        <v>72</v>
      </c>
      <c r="G17" s="28">
        <v>0</v>
      </c>
      <c r="H17" s="28">
        <f>F17*AO17</f>
        <v>0</v>
      </c>
      <c r="I17" s="28">
        <f>F17*AP17</f>
        <v>0</v>
      </c>
      <c r="J17" s="28">
        <f>F17*G17</f>
        <v>0</v>
      </c>
      <c r="K17" s="29" t="s">
        <v>61</v>
      </c>
      <c r="Z17" s="28">
        <f>IF(AQ17="5",BJ17,0)</f>
        <v>0</v>
      </c>
      <c r="AB17" s="28">
        <f>IF(AQ17="1",BH17,0)</f>
        <v>0</v>
      </c>
      <c r="AC17" s="28">
        <f>IF(AQ17="1",BI17,0)</f>
        <v>0</v>
      </c>
      <c r="AD17" s="28">
        <f>IF(AQ17="7",BH17,0)</f>
        <v>0</v>
      </c>
      <c r="AE17" s="28">
        <f>IF(AQ17="7",BI17,0)</f>
        <v>0</v>
      </c>
      <c r="AF17" s="28">
        <f>IF(AQ17="2",BH17,0)</f>
        <v>0</v>
      </c>
      <c r="AG17" s="28">
        <f>IF(AQ17="2",BI17,0)</f>
        <v>0</v>
      </c>
      <c r="AH17" s="28">
        <f>IF(AQ17="0",BJ17,0)</f>
        <v>0</v>
      </c>
      <c r="AI17" s="10" t="s">
        <v>56</v>
      </c>
      <c r="AJ17" s="28">
        <f>IF(AN17=0,J17,0)</f>
        <v>0</v>
      </c>
      <c r="AK17" s="28">
        <f>IF(AN17=12,J17,0)</f>
        <v>0</v>
      </c>
      <c r="AL17" s="28">
        <f>IF(AN17=21,J17,0)</f>
        <v>0</v>
      </c>
      <c r="AN17" s="28">
        <v>21</v>
      </c>
      <c r="AO17" s="28">
        <f>G17*1</f>
        <v>0</v>
      </c>
      <c r="AP17" s="28">
        <f>G17*(1-1)</f>
        <v>0</v>
      </c>
      <c r="AQ17" s="30" t="s">
        <v>57</v>
      </c>
      <c r="AV17" s="28">
        <f>AW17+AX17</f>
        <v>0</v>
      </c>
      <c r="AW17" s="28">
        <f>F17*AO17</f>
        <v>0</v>
      </c>
      <c r="AX17" s="28">
        <f>F17*AP17</f>
        <v>0</v>
      </c>
      <c r="AY17" s="30" t="s">
        <v>62</v>
      </c>
      <c r="AZ17" s="30" t="s">
        <v>63</v>
      </c>
      <c r="BA17" s="10" t="s">
        <v>64</v>
      </c>
      <c r="BC17" s="28">
        <f>AW17+AX17</f>
        <v>0</v>
      </c>
      <c r="BD17" s="28">
        <f>G17/(100-BE17)*100</f>
        <v>0</v>
      </c>
      <c r="BE17" s="28">
        <v>0</v>
      </c>
      <c r="BF17" s="28">
        <f>17</f>
        <v>17</v>
      </c>
      <c r="BH17" s="28">
        <f>F17*AO17</f>
        <v>0</v>
      </c>
      <c r="BI17" s="28">
        <f>F17*AP17</f>
        <v>0</v>
      </c>
      <c r="BJ17" s="28">
        <f>F17*G17</f>
        <v>0</v>
      </c>
      <c r="BK17" s="28"/>
      <c r="BL17" s="28">
        <v>17</v>
      </c>
      <c r="BW17" s="28">
        <v>21</v>
      </c>
    </row>
    <row r="18" spans="1:75" x14ac:dyDescent="0.25">
      <c r="A18" s="31"/>
      <c r="C18" s="32" t="s">
        <v>72</v>
      </c>
      <c r="D18" s="32" t="s">
        <v>52</v>
      </c>
      <c r="F18" s="33">
        <v>72</v>
      </c>
      <c r="K18" s="34"/>
    </row>
    <row r="19" spans="1:75" x14ac:dyDescent="0.25">
      <c r="A19" s="24" t="s">
        <v>52</v>
      </c>
      <c r="B19" s="25" t="s">
        <v>73</v>
      </c>
      <c r="C19" s="139" t="s">
        <v>74</v>
      </c>
      <c r="D19" s="140"/>
      <c r="E19" s="26" t="s">
        <v>4</v>
      </c>
      <c r="F19" s="26" t="s">
        <v>4</v>
      </c>
      <c r="G19" s="26" t="s">
        <v>4</v>
      </c>
      <c r="H19" s="1">
        <f>SUM(H20:H20)</f>
        <v>0</v>
      </c>
      <c r="I19" s="1">
        <f>SUM(I20:I20)</f>
        <v>0</v>
      </c>
      <c r="J19" s="1">
        <f>SUM(J20:J20)</f>
        <v>0</v>
      </c>
      <c r="K19" s="27" t="s">
        <v>52</v>
      </c>
      <c r="AI19" s="10" t="s">
        <v>56</v>
      </c>
      <c r="AS19" s="1">
        <f>SUM(AJ20:AJ20)</f>
        <v>0</v>
      </c>
      <c r="AT19" s="1">
        <f>SUM(AK20:AK20)</f>
        <v>0</v>
      </c>
      <c r="AU19" s="1">
        <f>SUM(AL20:AL20)</f>
        <v>0</v>
      </c>
    </row>
    <row r="20" spans="1:75" ht="13.5" customHeight="1" x14ac:dyDescent="0.25">
      <c r="A20" s="2" t="s">
        <v>75</v>
      </c>
      <c r="B20" s="3" t="s">
        <v>76</v>
      </c>
      <c r="C20" s="83" t="s">
        <v>77</v>
      </c>
      <c r="D20" s="80"/>
      <c r="E20" s="3" t="s">
        <v>78</v>
      </c>
      <c r="F20" s="28">
        <v>33.32</v>
      </c>
      <c r="G20" s="28">
        <v>0</v>
      </c>
      <c r="H20" s="28">
        <f>F20*AO20</f>
        <v>0</v>
      </c>
      <c r="I20" s="28">
        <f>F20*AP20</f>
        <v>0</v>
      </c>
      <c r="J20" s="28">
        <f>F20*G20</f>
        <v>0</v>
      </c>
      <c r="K20" s="29" t="s">
        <v>61</v>
      </c>
      <c r="Z20" s="28">
        <f>IF(AQ20="5",BJ20,0)</f>
        <v>0</v>
      </c>
      <c r="AB20" s="28">
        <f>IF(AQ20="1",BH20,0)</f>
        <v>0</v>
      </c>
      <c r="AC20" s="28">
        <f>IF(AQ20="1",BI20,0)</f>
        <v>0</v>
      </c>
      <c r="AD20" s="28">
        <f>IF(AQ20="7",BH20,0)</f>
        <v>0</v>
      </c>
      <c r="AE20" s="28">
        <f>IF(AQ20="7",BI20,0)</f>
        <v>0</v>
      </c>
      <c r="AF20" s="28">
        <f>IF(AQ20="2",BH20,0)</f>
        <v>0</v>
      </c>
      <c r="AG20" s="28">
        <f>IF(AQ20="2",BI20,0)</f>
        <v>0</v>
      </c>
      <c r="AH20" s="28">
        <f>IF(AQ20="0",BJ20,0)</f>
        <v>0</v>
      </c>
      <c r="AI20" s="10" t="s">
        <v>56</v>
      </c>
      <c r="AJ20" s="28">
        <f>IF(AN20=0,J20,0)</f>
        <v>0</v>
      </c>
      <c r="AK20" s="28">
        <f>IF(AN20=12,J20,0)</f>
        <v>0</v>
      </c>
      <c r="AL20" s="28">
        <f>IF(AN20=21,J20,0)</f>
        <v>0</v>
      </c>
      <c r="AN20" s="28">
        <v>21</v>
      </c>
      <c r="AO20" s="28">
        <f>G20*0.150905764</f>
        <v>0</v>
      </c>
      <c r="AP20" s="28">
        <f>G20*(1-0.150905764)</f>
        <v>0</v>
      </c>
      <c r="AQ20" s="30" t="s">
        <v>57</v>
      </c>
      <c r="AV20" s="28">
        <f>AW20+AX20</f>
        <v>0</v>
      </c>
      <c r="AW20" s="28">
        <f>F20*AO20</f>
        <v>0</v>
      </c>
      <c r="AX20" s="28">
        <f>F20*AP20</f>
        <v>0</v>
      </c>
      <c r="AY20" s="30" t="s">
        <v>79</v>
      </c>
      <c r="AZ20" s="30" t="s">
        <v>80</v>
      </c>
      <c r="BA20" s="10" t="s">
        <v>64</v>
      </c>
      <c r="BC20" s="28">
        <f>AW20+AX20</f>
        <v>0</v>
      </c>
      <c r="BD20" s="28">
        <f>G20/(100-BE20)*100</f>
        <v>0</v>
      </c>
      <c r="BE20" s="28">
        <v>0</v>
      </c>
      <c r="BF20" s="28">
        <f>20</f>
        <v>20</v>
      </c>
      <c r="BH20" s="28">
        <f>F20*AO20</f>
        <v>0</v>
      </c>
      <c r="BI20" s="28">
        <f>F20*AP20</f>
        <v>0</v>
      </c>
      <c r="BJ20" s="28">
        <f>F20*G20</f>
        <v>0</v>
      </c>
      <c r="BK20" s="28"/>
      <c r="BL20" s="28">
        <v>97</v>
      </c>
      <c r="BW20" s="28">
        <v>21</v>
      </c>
    </row>
    <row r="21" spans="1:75" x14ac:dyDescent="0.25">
      <c r="A21" s="31"/>
      <c r="C21" s="32" t="s">
        <v>81</v>
      </c>
      <c r="D21" s="32" t="s">
        <v>52</v>
      </c>
      <c r="F21" s="33">
        <v>33.32</v>
      </c>
      <c r="K21" s="34"/>
    </row>
    <row r="22" spans="1:75" x14ac:dyDescent="0.25">
      <c r="A22" s="24" t="s">
        <v>52</v>
      </c>
      <c r="B22" s="25" t="s">
        <v>82</v>
      </c>
      <c r="C22" s="139" t="s">
        <v>83</v>
      </c>
      <c r="D22" s="140"/>
      <c r="E22" s="26" t="s">
        <v>4</v>
      </c>
      <c r="F22" s="26" t="s">
        <v>4</v>
      </c>
      <c r="G22" s="26" t="s">
        <v>4</v>
      </c>
      <c r="H22" s="1">
        <f>SUM(H23:H37)</f>
        <v>0</v>
      </c>
      <c r="I22" s="1">
        <f>SUM(I23:I37)</f>
        <v>0</v>
      </c>
      <c r="J22" s="1">
        <f>SUM(J23:J37)</f>
        <v>0</v>
      </c>
      <c r="K22" s="27" t="s">
        <v>52</v>
      </c>
      <c r="AI22" s="10" t="s">
        <v>56</v>
      </c>
      <c r="AS22" s="1">
        <f>SUM(AJ23:AJ37)</f>
        <v>0</v>
      </c>
      <c r="AT22" s="1">
        <f>SUM(AK23:AK37)</f>
        <v>0</v>
      </c>
      <c r="AU22" s="1">
        <f>SUM(AL23:AL37)</f>
        <v>0</v>
      </c>
    </row>
    <row r="23" spans="1:75" ht="13.5" customHeight="1" x14ac:dyDescent="0.25">
      <c r="A23" s="2" t="s">
        <v>84</v>
      </c>
      <c r="B23" s="3" t="s">
        <v>85</v>
      </c>
      <c r="C23" s="83" t="s">
        <v>86</v>
      </c>
      <c r="D23" s="80"/>
      <c r="E23" s="3" t="s">
        <v>71</v>
      </c>
      <c r="F23" s="28">
        <v>84.83</v>
      </c>
      <c r="G23" s="28">
        <v>0</v>
      </c>
      <c r="H23" s="28">
        <f>F23*AO23</f>
        <v>0</v>
      </c>
      <c r="I23" s="28">
        <f>F23*AP23</f>
        <v>0</v>
      </c>
      <c r="J23" s="28">
        <f>F23*G23</f>
        <v>0</v>
      </c>
      <c r="K23" s="29" t="s">
        <v>61</v>
      </c>
      <c r="Z23" s="28">
        <f>IF(AQ23="5",BJ23,0)</f>
        <v>0</v>
      </c>
      <c r="AB23" s="28">
        <f>IF(AQ23="1",BH23,0)</f>
        <v>0</v>
      </c>
      <c r="AC23" s="28">
        <f>IF(AQ23="1",BI23,0)</f>
        <v>0</v>
      </c>
      <c r="AD23" s="28">
        <f>IF(AQ23="7",BH23,0)</f>
        <v>0</v>
      </c>
      <c r="AE23" s="28">
        <f>IF(AQ23="7",BI23,0)</f>
        <v>0</v>
      </c>
      <c r="AF23" s="28">
        <f>IF(AQ23="2",BH23,0)</f>
        <v>0</v>
      </c>
      <c r="AG23" s="28">
        <f>IF(AQ23="2",BI23,0)</f>
        <v>0</v>
      </c>
      <c r="AH23" s="28">
        <f>IF(AQ23="0",BJ23,0)</f>
        <v>0</v>
      </c>
      <c r="AI23" s="10" t="s">
        <v>56</v>
      </c>
      <c r="AJ23" s="28">
        <f>IF(AN23=0,J23,0)</f>
        <v>0</v>
      </c>
      <c r="AK23" s="28">
        <f>IF(AN23=12,J23,0)</f>
        <v>0</v>
      </c>
      <c r="AL23" s="28">
        <f>IF(AN23=21,J23,0)</f>
        <v>0</v>
      </c>
      <c r="AN23" s="28">
        <v>21</v>
      </c>
      <c r="AO23" s="28">
        <f>G23*0</f>
        <v>0</v>
      </c>
      <c r="AP23" s="28">
        <f>G23*(1-0)</f>
        <v>0</v>
      </c>
      <c r="AQ23" s="30" t="s">
        <v>87</v>
      </c>
      <c r="AV23" s="28">
        <f>AW23+AX23</f>
        <v>0</v>
      </c>
      <c r="AW23" s="28">
        <f>F23*AO23</f>
        <v>0</v>
      </c>
      <c r="AX23" s="28">
        <f>F23*AP23</f>
        <v>0</v>
      </c>
      <c r="AY23" s="30" t="s">
        <v>88</v>
      </c>
      <c r="AZ23" s="30" t="s">
        <v>80</v>
      </c>
      <c r="BA23" s="10" t="s">
        <v>64</v>
      </c>
      <c r="BC23" s="28">
        <f>AW23+AX23</f>
        <v>0</v>
      </c>
      <c r="BD23" s="28">
        <f>G23/(100-BE23)*100</f>
        <v>0</v>
      </c>
      <c r="BE23" s="28">
        <v>0</v>
      </c>
      <c r="BF23" s="28">
        <f>23</f>
        <v>23</v>
      </c>
      <c r="BH23" s="28">
        <f>F23*AO23</f>
        <v>0</v>
      </c>
      <c r="BI23" s="28">
        <f>F23*AP23</f>
        <v>0</v>
      </c>
      <c r="BJ23" s="28">
        <f>F23*G23</f>
        <v>0</v>
      </c>
      <c r="BK23" s="28"/>
      <c r="BL23" s="28"/>
      <c r="BW23" s="28">
        <v>21</v>
      </c>
    </row>
    <row r="24" spans="1:75" x14ac:dyDescent="0.25">
      <c r="A24" s="31"/>
      <c r="C24" s="32" t="s">
        <v>89</v>
      </c>
      <c r="D24" s="32" t="s">
        <v>52</v>
      </c>
      <c r="F24" s="33">
        <v>84.83</v>
      </c>
      <c r="K24" s="34"/>
    </row>
    <row r="25" spans="1:75" ht="13.5" customHeight="1" x14ac:dyDescent="0.25">
      <c r="A25" s="2" t="s">
        <v>87</v>
      </c>
      <c r="B25" s="3" t="s">
        <v>90</v>
      </c>
      <c r="C25" s="83" t="s">
        <v>91</v>
      </c>
      <c r="D25" s="80"/>
      <c r="E25" s="3" t="s">
        <v>71</v>
      </c>
      <c r="F25" s="28">
        <v>50.71</v>
      </c>
      <c r="G25" s="28">
        <v>0</v>
      </c>
      <c r="H25" s="28">
        <f>F25*AO25</f>
        <v>0</v>
      </c>
      <c r="I25" s="28">
        <f>F25*AP25</f>
        <v>0</v>
      </c>
      <c r="J25" s="28">
        <f>F25*G25</f>
        <v>0</v>
      </c>
      <c r="K25" s="29" t="s">
        <v>61</v>
      </c>
      <c r="Z25" s="28">
        <f>IF(AQ25="5",BJ25,0)</f>
        <v>0</v>
      </c>
      <c r="AB25" s="28">
        <f>IF(AQ25="1",BH25,0)</f>
        <v>0</v>
      </c>
      <c r="AC25" s="28">
        <f>IF(AQ25="1",BI25,0)</f>
        <v>0</v>
      </c>
      <c r="AD25" s="28">
        <f>IF(AQ25="7",BH25,0)</f>
        <v>0</v>
      </c>
      <c r="AE25" s="28">
        <f>IF(AQ25="7",BI25,0)</f>
        <v>0</v>
      </c>
      <c r="AF25" s="28">
        <f>IF(AQ25="2",BH25,0)</f>
        <v>0</v>
      </c>
      <c r="AG25" s="28">
        <f>IF(AQ25="2",BI25,0)</f>
        <v>0</v>
      </c>
      <c r="AH25" s="28">
        <f>IF(AQ25="0",BJ25,0)</f>
        <v>0</v>
      </c>
      <c r="AI25" s="10" t="s">
        <v>56</v>
      </c>
      <c r="AJ25" s="28">
        <f>IF(AN25=0,J25,0)</f>
        <v>0</v>
      </c>
      <c r="AK25" s="28">
        <f>IF(AN25=12,J25,0)</f>
        <v>0</v>
      </c>
      <c r="AL25" s="28">
        <f>IF(AN25=21,J25,0)</f>
        <v>0</v>
      </c>
      <c r="AN25" s="28">
        <v>21</v>
      </c>
      <c r="AO25" s="28">
        <f>G25*0</f>
        <v>0</v>
      </c>
      <c r="AP25" s="28">
        <f>G25*(1-0)</f>
        <v>0</v>
      </c>
      <c r="AQ25" s="30" t="s">
        <v>87</v>
      </c>
      <c r="AV25" s="28">
        <f>AW25+AX25</f>
        <v>0</v>
      </c>
      <c r="AW25" s="28">
        <f>F25*AO25</f>
        <v>0</v>
      </c>
      <c r="AX25" s="28">
        <f>F25*AP25</f>
        <v>0</v>
      </c>
      <c r="AY25" s="30" t="s">
        <v>88</v>
      </c>
      <c r="AZ25" s="30" t="s">
        <v>80</v>
      </c>
      <c r="BA25" s="10" t="s">
        <v>64</v>
      </c>
      <c r="BC25" s="28">
        <f>AW25+AX25</f>
        <v>0</v>
      </c>
      <c r="BD25" s="28">
        <f>G25/(100-BE25)*100</f>
        <v>0</v>
      </c>
      <c r="BE25" s="28">
        <v>0</v>
      </c>
      <c r="BF25" s="28">
        <f>25</f>
        <v>25</v>
      </c>
      <c r="BH25" s="28">
        <f>F25*AO25</f>
        <v>0</v>
      </c>
      <c r="BI25" s="28">
        <f>F25*AP25</f>
        <v>0</v>
      </c>
      <c r="BJ25" s="28">
        <f>F25*G25</f>
        <v>0</v>
      </c>
      <c r="BK25" s="28"/>
      <c r="BL25" s="28"/>
      <c r="BW25" s="28">
        <v>21</v>
      </c>
    </row>
    <row r="26" spans="1:75" x14ac:dyDescent="0.25">
      <c r="A26" s="31"/>
      <c r="C26" s="32" t="s">
        <v>92</v>
      </c>
      <c r="D26" s="32" t="s">
        <v>52</v>
      </c>
      <c r="F26" s="33">
        <v>50.71</v>
      </c>
      <c r="K26" s="34"/>
    </row>
    <row r="27" spans="1:75" ht="13.5" customHeight="1" x14ac:dyDescent="0.25">
      <c r="A27" s="2" t="s">
        <v>93</v>
      </c>
      <c r="B27" s="3" t="s">
        <v>94</v>
      </c>
      <c r="C27" s="83" t="s">
        <v>95</v>
      </c>
      <c r="D27" s="80"/>
      <c r="E27" s="3" t="s">
        <v>71</v>
      </c>
      <c r="F27" s="28">
        <v>0.18</v>
      </c>
      <c r="G27" s="28">
        <v>0</v>
      </c>
      <c r="H27" s="28">
        <f>F27*AO27</f>
        <v>0</v>
      </c>
      <c r="I27" s="28">
        <f>F27*AP27</f>
        <v>0</v>
      </c>
      <c r="J27" s="28">
        <f>F27*G27</f>
        <v>0</v>
      </c>
      <c r="K27" s="29" t="s">
        <v>61</v>
      </c>
      <c r="Z27" s="28">
        <f>IF(AQ27="5",BJ27,0)</f>
        <v>0</v>
      </c>
      <c r="AB27" s="28">
        <f>IF(AQ27="1",BH27,0)</f>
        <v>0</v>
      </c>
      <c r="AC27" s="28">
        <f>IF(AQ27="1",BI27,0)</f>
        <v>0</v>
      </c>
      <c r="AD27" s="28">
        <f>IF(AQ27="7",BH27,0)</f>
        <v>0</v>
      </c>
      <c r="AE27" s="28">
        <f>IF(AQ27="7",BI27,0)</f>
        <v>0</v>
      </c>
      <c r="AF27" s="28">
        <f>IF(AQ27="2",BH27,0)</f>
        <v>0</v>
      </c>
      <c r="AG27" s="28">
        <f>IF(AQ27="2",BI27,0)</f>
        <v>0</v>
      </c>
      <c r="AH27" s="28">
        <f>IF(AQ27="0",BJ27,0)</f>
        <v>0</v>
      </c>
      <c r="AI27" s="10" t="s">
        <v>56</v>
      </c>
      <c r="AJ27" s="28">
        <f>IF(AN27=0,J27,0)</f>
        <v>0</v>
      </c>
      <c r="AK27" s="28">
        <f>IF(AN27=12,J27,0)</f>
        <v>0</v>
      </c>
      <c r="AL27" s="28">
        <f>IF(AN27=21,J27,0)</f>
        <v>0</v>
      </c>
      <c r="AN27" s="28">
        <v>21</v>
      </c>
      <c r="AO27" s="28">
        <f>G27*0</f>
        <v>0</v>
      </c>
      <c r="AP27" s="28">
        <f>G27*(1-0)</f>
        <v>0</v>
      </c>
      <c r="AQ27" s="30" t="s">
        <v>87</v>
      </c>
      <c r="AV27" s="28">
        <f>AW27+AX27</f>
        <v>0</v>
      </c>
      <c r="AW27" s="28">
        <f>F27*AO27</f>
        <v>0</v>
      </c>
      <c r="AX27" s="28">
        <f>F27*AP27</f>
        <v>0</v>
      </c>
      <c r="AY27" s="30" t="s">
        <v>88</v>
      </c>
      <c r="AZ27" s="30" t="s">
        <v>80</v>
      </c>
      <c r="BA27" s="10" t="s">
        <v>64</v>
      </c>
      <c r="BC27" s="28">
        <f>AW27+AX27</f>
        <v>0</v>
      </c>
      <c r="BD27" s="28">
        <f>G27/(100-BE27)*100</f>
        <v>0</v>
      </c>
      <c r="BE27" s="28">
        <v>0</v>
      </c>
      <c r="BF27" s="28">
        <f>27</f>
        <v>27</v>
      </c>
      <c r="BH27" s="28">
        <f>F27*AO27</f>
        <v>0</v>
      </c>
      <c r="BI27" s="28">
        <f>F27*AP27</f>
        <v>0</v>
      </c>
      <c r="BJ27" s="28">
        <f>F27*G27</f>
        <v>0</v>
      </c>
      <c r="BK27" s="28"/>
      <c r="BL27" s="28"/>
      <c r="BW27" s="28">
        <v>21</v>
      </c>
    </row>
    <row r="28" spans="1:75" x14ac:dyDescent="0.25">
      <c r="A28" s="31"/>
      <c r="C28" s="32" t="s">
        <v>96</v>
      </c>
      <c r="D28" s="32" t="s">
        <v>97</v>
      </c>
      <c r="F28" s="33">
        <v>0.18</v>
      </c>
      <c r="K28" s="34"/>
    </row>
    <row r="29" spans="1:75" ht="13.5" customHeight="1" x14ac:dyDescent="0.25">
      <c r="A29" s="2" t="s">
        <v>98</v>
      </c>
      <c r="B29" s="3" t="s">
        <v>99</v>
      </c>
      <c r="C29" s="83" t="s">
        <v>100</v>
      </c>
      <c r="D29" s="80"/>
      <c r="E29" s="3" t="s">
        <v>71</v>
      </c>
      <c r="F29" s="28">
        <v>16.48</v>
      </c>
      <c r="G29" s="28">
        <v>0</v>
      </c>
      <c r="H29" s="28">
        <f>F29*AO29</f>
        <v>0</v>
      </c>
      <c r="I29" s="28">
        <f>F29*AP29</f>
        <v>0</v>
      </c>
      <c r="J29" s="28">
        <f>F29*G29</f>
        <v>0</v>
      </c>
      <c r="K29" s="29" t="s">
        <v>61</v>
      </c>
      <c r="Z29" s="28">
        <f>IF(AQ29="5",BJ29,0)</f>
        <v>0</v>
      </c>
      <c r="AB29" s="28">
        <f>IF(AQ29="1",BH29,0)</f>
        <v>0</v>
      </c>
      <c r="AC29" s="28">
        <f>IF(AQ29="1",BI29,0)</f>
        <v>0</v>
      </c>
      <c r="AD29" s="28">
        <f>IF(AQ29="7",BH29,0)</f>
        <v>0</v>
      </c>
      <c r="AE29" s="28">
        <f>IF(AQ29="7",BI29,0)</f>
        <v>0</v>
      </c>
      <c r="AF29" s="28">
        <f>IF(AQ29="2",BH29,0)</f>
        <v>0</v>
      </c>
      <c r="AG29" s="28">
        <f>IF(AQ29="2",BI29,0)</f>
        <v>0</v>
      </c>
      <c r="AH29" s="28">
        <f>IF(AQ29="0",BJ29,0)</f>
        <v>0</v>
      </c>
      <c r="AI29" s="10" t="s">
        <v>56</v>
      </c>
      <c r="AJ29" s="28">
        <f>IF(AN29=0,J29,0)</f>
        <v>0</v>
      </c>
      <c r="AK29" s="28">
        <f>IF(AN29=12,J29,0)</f>
        <v>0</v>
      </c>
      <c r="AL29" s="28">
        <f>IF(AN29=21,J29,0)</f>
        <v>0</v>
      </c>
      <c r="AN29" s="28">
        <v>21</v>
      </c>
      <c r="AO29" s="28">
        <f>G29*0</f>
        <v>0</v>
      </c>
      <c r="AP29" s="28">
        <f>G29*(1-0)</f>
        <v>0</v>
      </c>
      <c r="AQ29" s="30" t="s">
        <v>87</v>
      </c>
      <c r="AV29" s="28">
        <f>AW29+AX29</f>
        <v>0</v>
      </c>
      <c r="AW29" s="28">
        <f>F29*AO29</f>
        <v>0</v>
      </c>
      <c r="AX29" s="28">
        <f>F29*AP29</f>
        <v>0</v>
      </c>
      <c r="AY29" s="30" t="s">
        <v>88</v>
      </c>
      <c r="AZ29" s="30" t="s">
        <v>80</v>
      </c>
      <c r="BA29" s="10" t="s">
        <v>64</v>
      </c>
      <c r="BC29" s="28">
        <f>AW29+AX29</f>
        <v>0</v>
      </c>
      <c r="BD29" s="28">
        <f>G29/(100-BE29)*100</f>
        <v>0</v>
      </c>
      <c r="BE29" s="28">
        <v>0</v>
      </c>
      <c r="BF29" s="28">
        <f>29</f>
        <v>29</v>
      </c>
      <c r="BH29" s="28">
        <f>F29*AO29</f>
        <v>0</v>
      </c>
      <c r="BI29" s="28">
        <f>F29*AP29</f>
        <v>0</v>
      </c>
      <c r="BJ29" s="28">
        <f>F29*G29</f>
        <v>0</v>
      </c>
      <c r="BK29" s="28"/>
      <c r="BL29" s="28"/>
      <c r="BW29" s="28">
        <v>21</v>
      </c>
    </row>
    <row r="30" spans="1:75" x14ac:dyDescent="0.25">
      <c r="A30" s="31"/>
      <c r="C30" s="32" t="s">
        <v>101</v>
      </c>
      <c r="D30" s="32" t="s">
        <v>102</v>
      </c>
      <c r="F30" s="33">
        <v>16.48</v>
      </c>
      <c r="K30" s="34"/>
    </row>
    <row r="31" spans="1:75" ht="13.5" customHeight="1" x14ac:dyDescent="0.25">
      <c r="A31" s="2" t="s">
        <v>103</v>
      </c>
      <c r="B31" s="3" t="s">
        <v>104</v>
      </c>
      <c r="C31" s="83" t="s">
        <v>105</v>
      </c>
      <c r="D31" s="80"/>
      <c r="E31" s="3" t="s">
        <v>71</v>
      </c>
      <c r="F31" s="28">
        <v>0.42399999999999999</v>
      </c>
      <c r="G31" s="28">
        <v>0</v>
      </c>
      <c r="H31" s="28">
        <f>F31*AO31</f>
        <v>0</v>
      </c>
      <c r="I31" s="28">
        <f>F31*AP31</f>
        <v>0</v>
      </c>
      <c r="J31" s="28">
        <f>F31*G31</f>
        <v>0</v>
      </c>
      <c r="K31" s="29" t="s">
        <v>61</v>
      </c>
      <c r="Z31" s="28">
        <f>IF(AQ31="5",BJ31,0)</f>
        <v>0</v>
      </c>
      <c r="AB31" s="28">
        <f>IF(AQ31="1",BH31,0)</f>
        <v>0</v>
      </c>
      <c r="AC31" s="28">
        <f>IF(AQ31="1",BI31,0)</f>
        <v>0</v>
      </c>
      <c r="AD31" s="28">
        <f>IF(AQ31="7",BH31,0)</f>
        <v>0</v>
      </c>
      <c r="AE31" s="28">
        <f>IF(AQ31="7",BI31,0)</f>
        <v>0</v>
      </c>
      <c r="AF31" s="28">
        <f>IF(AQ31="2",BH31,0)</f>
        <v>0</v>
      </c>
      <c r="AG31" s="28">
        <f>IF(AQ31="2",BI31,0)</f>
        <v>0</v>
      </c>
      <c r="AH31" s="28">
        <f>IF(AQ31="0",BJ31,0)</f>
        <v>0</v>
      </c>
      <c r="AI31" s="10" t="s">
        <v>56</v>
      </c>
      <c r="AJ31" s="28">
        <f>IF(AN31=0,J31,0)</f>
        <v>0</v>
      </c>
      <c r="AK31" s="28">
        <f>IF(AN31=12,J31,0)</f>
        <v>0</v>
      </c>
      <c r="AL31" s="28">
        <f>IF(AN31=21,J31,0)</f>
        <v>0</v>
      </c>
      <c r="AN31" s="28">
        <v>21</v>
      </c>
      <c r="AO31" s="28">
        <f>G31*0</f>
        <v>0</v>
      </c>
      <c r="AP31" s="28">
        <f>G31*(1-0)</f>
        <v>0</v>
      </c>
      <c r="AQ31" s="30" t="s">
        <v>87</v>
      </c>
      <c r="AV31" s="28">
        <f>AW31+AX31</f>
        <v>0</v>
      </c>
      <c r="AW31" s="28">
        <f>F31*AO31</f>
        <v>0</v>
      </c>
      <c r="AX31" s="28">
        <f>F31*AP31</f>
        <v>0</v>
      </c>
      <c r="AY31" s="30" t="s">
        <v>88</v>
      </c>
      <c r="AZ31" s="30" t="s">
        <v>80</v>
      </c>
      <c r="BA31" s="10" t="s">
        <v>64</v>
      </c>
      <c r="BC31" s="28">
        <f>AW31+AX31</f>
        <v>0</v>
      </c>
      <c r="BD31" s="28">
        <f>G31/(100-BE31)*100</f>
        <v>0</v>
      </c>
      <c r="BE31" s="28">
        <v>0</v>
      </c>
      <c r="BF31" s="28">
        <f>31</f>
        <v>31</v>
      </c>
      <c r="BH31" s="28">
        <f>F31*AO31</f>
        <v>0</v>
      </c>
      <c r="BI31" s="28">
        <f>F31*AP31</f>
        <v>0</v>
      </c>
      <c r="BJ31" s="28">
        <f>F31*G31</f>
        <v>0</v>
      </c>
      <c r="BK31" s="28"/>
      <c r="BL31" s="28"/>
      <c r="BW31" s="28">
        <v>21</v>
      </c>
    </row>
    <row r="32" spans="1:75" x14ac:dyDescent="0.25">
      <c r="A32" s="31"/>
      <c r="C32" s="32" t="s">
        <v>96</v>
      </c>
      <c r="D32" s="32" t="s">
        <v>106</v>
      </c>
      <c r="F32" s="33">
        <v>0.18</v>
      </c>
      <c r="K32" s="34"/>
    </row>
    <row r="33" spans="1:75" x14ac:dyDescent="0.25">
      <c r="A33" s="31"/>
      <c r="C33" s="32" t="s">
        <v>107</v>
      </c>
      <c r="D33" s="32" t="s">
        <v>108</v>
      </c>
      <c r="F33" s="33">
        <v>0.05</v>
      </c>
      <c r="K33" s="34"/>
    </row>
    <row r="34" spans="1:75" x14ac:dyDescent="0.25">
      <c r="A34" s="31"/>
      <c r="C34" s="32" t="s">
        <v>109</v>
      </c>
      <c r="D34" s="32" t="s">
        <v>110</v>
      </c>
      <c r="F34" s="33">
        <v>0.19400000000000001</v>
      </c>
      <c r="K34" s="34"/>
    </row>
    <row r="35" spans="1:75" ht="13.5" customHeight="1" x14ac:dyDescent="0.25">
      <c r="A35" s="2" t="s">
        <v>111</v>
      </c>
      <c r="B35" s="3" t="s">
        <v>112</v>
      </c>
      <c r="C35" s="83" t="s">
        <v>113</v>
      </c>
      <c r="D35" s="80"/>
      <c r="E35" s="3" t="s">
        <v>71</v>
      </c>
      <c r="F35" s="28">
        <v>152.624</v>
      </c>
      <c r="G35" s="28">
        <v>0</v>
      </c>
      <c r="H35" s="28">
        <f>F35*AO35</f>
        <v>0</v>
      </c>
      <c r="I35" s="28">
        <f>F35*AP35</f>
        <v>0</v>
      </c>
      <c r="J35" s="28">
        <f>F35*G35</f>
        <v>0</v>
      </c>
      <c r="K35" s="29" t="s">
        <v>61</v>
      </c>
      <c r="Z35" s="28">
        <f>IF(AQ35="5",BJ35,0)</f>
        <v>0</v>
      </c>
      <c r="AB35" s="28">
        <f>IF(AQ35="1",BH35,0)</f>
        <v>0</v>
      </c>
      <c r="AC35" s="28">
        <f>IF(AQ35="1",BI35,0)</f>
        <v>0</v>
      </c>
      <c r="AD35" s="28">
        <f>IF(AQ35="7",BH35,0)</f>
        <v>0</v>
      </c>
      <c r="AE35" s="28">
        <f>IF(AQ35="7",BI35,0)</f>
        <v>0</v>
      </c>
      <c r="AF35" s="28">
        <f>IF(AQ35="2",BH35,0)</f>
        <v>0</v>
      </c>
      <c r="AG35" s="28">
        <f>IF(AQ35="2",BI35,0)</f>
        <v>0</v>
      </c>
      <c r="AH35" s="28">
        <f>IF(AQ35="0",BJ35,0)</f>
        <v>0</v>
      </c>
      <c r="AI35" s="10" t="s">
        <v>56</v>
      </c>
      <c r="AJ35" s="28">
        <f>IF(AN35=0,J35,0)</f>
        <v>0</v>
      </c>
      <c r="AK35" s="28">
        <f>IF(AN35=12,J35,0)</f>
        <v>0</v>
      </c>
      <c r="AL35" s="28">
        <f>IF(AN35=21,J35,0)</f>
        <v>0</v>
      </c>
      <c r="AN35" s="28">
        <v>21</v>
      </c>
      <c r="AO35" s="28">
        <f>G35*0</f>
        <v>0</v>
      </c>
      <c r="AP35" s="28">
        <f>G35*(1-0)</f>
        <v>0</v>
      </c>
      <c r="AQ35" s="30" t="s">
        <v>87</v>
      </c>
      <c r="AV35" s="28">
        <f>AW35+AX35</f>
        <v>0</v>
      </c>
      <c r="AW35" s="28">
        <f>F35*AO35</f>
        <v>0</v>
      </c>
      <c r="AX35" s="28">
        <f>F35*AP35</f>
        <v>0</v>
      </c>
      <c r="AY35" s="30" t="s">
        <v>88</v>
      </c>
      <c r="AZ35" s="30" t="s">
        <v>80</v>
      </c>
      <c r="BA35" s="10" t="s">
        <v>64</v>
      </c>
      <c r="BC35" s="28">
        <f>AW35+AX35</f>
        <v>0</v>
      </c>
      <c r="BD35" s="28">
        <f>G35/(100-BE35)*100</f>
        <v>0</v>
      </c>
      <c r="BE35" s="28">
        <v>0</v>
      </c>
      <c r="BF35" s="28">
        <f>35</f>
        <v>35</v>
      </c>
      <c r="BH35" s="28">
        <f>F35*AO35</f>
        <v>0</v>
      </c>
      <c r="BI35" s="28">
        <f>F35*AP35</f>
        <v>0</v>
      </c>
      <c r="BJ35" s="28">
        <f>F35*G35</f>
        <v>0</v>
      </c>
      <c r="BK35" s="28"/>
      <c r="BL35" s="28"/>
      <c r="BW35" s="28">
        <v>21</v>
      </c>
    </row>
    <row r="36" spans="1:75" x14ac:dyDescent="0.25">
      <c r="A36" s="31"/>
      <c r="C36" s="32" t="s">
        <v>114</v>
      </c>
      <c r="D36" s="32" t="s">
        <v>52</v>
      </c>
      <c r="F36" s="33">
        <v>152.624</v>
      </c>
      <c r="K36" s="34"/>
    </row>
    <row r="37" spans="1:75" ht="13.5" customHeight="1" x14ac:dyDescent="0.25">
      <c r="A37" s="2" t="s">
        <v>115</v>
      </c>
      <c r="B37" s="3" t="s">
        <v>116</v>
      </c>
      <c r="C37" s="83" t="s">
        <v>117</v>
      </c>
      <c r="D37" s="80"/>
      <c r="E37" s="3" t="s">
        <v>71</v>
      </c>
      <c r="F37" s="28">
        <v>2899.8560000000002</v>
      </c>
      <c r="G37" s="28">
        <v>0</v>
      </c>
      <c r="H37" s="28">
        <f>F37*AO37</f>
        <v>0</v>
      </c>
      <c r="I37" s="28">
        <f>F37*AP37</f>
        <v>0</v>
      </c>
      <c r="J37" s="28">
        <f>F37*G37</f>
        <v>0</v>
      </c>
      <c r="K37" s="29" t="s">
        <v>61</v>
      </c>
      <c r="Z37" s="28">
        <f>IF(AQ37="5",BJ37,0)</f>
        <v>0</v>
      </c>
      <c r="AB37" s="28">
        <f>IF(AQ37="1",BH37,0)</f>
        <v>0</v>
      </c>
      <c r="AC37" s="28">
        <f>IF(AQ37="1",BI37,0)</f>
        <v>0</v>
      </c>
      <c r="AD37" s="28">
        <f>IF(AQ37="7",BH37,0)</f>
        <v>0</v>
      </c>
      <c r="AE37" s="28">
        <f>IF(AQ37="7",BI37,0)</f>
        <v>0</v>
      </c>
      <c r="AF37" s="28">
        <f>IF(AQ37="2",BH37,0)</f>
        <v>0</v>
      </c>
      <c r="AG37" s="28">
        <f>IF(AQ37="2",BI37,0)</f>
        <v>0</v>
      </c>
      <c r="AH37" s="28">
        <f>IF(AQ37="0",BJ37,0)</f>
        <v>0</v>
      </c>
      <c r="AI37" s="10" t="s">
        <v>56</v>
      </c>
      <c r="AJ37" s="28">
        <f>IF(AN37=0,J37,0)</f>
        <v>0</v>
      </c>
      <c r="AK37" s="28">
        <f>IF(AN37=12,J37,0)</f>
        <v>0</v>
      </c>
      <c r="AL37" s="28">
        <f>IF(AN37=21,J37,0)</f>
        <v>0</v>
      </c>
      <c r="AN37" s="28">
        <v>21</v>
      </c>
      <c r="AO37" s="28">
        <f>G37*0</f>
        <v>0</v>
      </c>
      <c r="AP37" s="28">
        <f>G37*(1-0)</f>
        <v>0</v>
      </c>
      <c r="AQ37" s="30" t="s">
        <v>87</v>
      </c>
      <c r="AV37" s="28">
        <f>AW37+AX37</f>
        <v>0</v>
      </c>
      <c r="AW37" s="28">
        <f>F37*AO37</f>
        <v>0</v>
      </c>
      <c r="AX37" s="28">
        <f>F37*AP37</f>
        <v>0</v>
      </c>
      <c r="AY37" s="30" t="s">
        <v>88</v>
      </c>
      <c r="AZ37" s="30" t="s">
        <v>80</v>
      </c>
      <c r="BA37" s="10" t="s">
        <v>64</v>
      </c>
      <c r="BC37" s="28">
        <f>AW37+AX37</f>
        <v>0</v>
      </c>
      <c r="BD37" s="28">
        <f>G37/(100-BE37)*100</f>
        <v>0</v>
      </c>
      <c r="BE37" s="28">
        <v>0</v>
      </c>
      <c r="BF37" s="28">
        <f>37</f>
        <v>37</v>
      </c>
      <c r="BH37" s="28">
        <f>F37*AO37</f>
        <v>0</v>
      </c>
      <c r="BI37" s="28">
        <f>F37*AP37</f>
        <v>0</v>
      </c>
      <c r="BJ37" s="28">
        <f>F37*G37</f>
        <v>0</v>
      </c>
      <c r="BK37" s="28"/>
      <c r="BL37" s="28"/>
      <c r="BW37" s="28">
        <v>21</v>
      </c>
    </row>
    <row r="38" spans="1:75" x14ac:dyDescent="0.25">
      <c r="A38" s="31"/>
      <c r="C38" s="32" t="s">
        <v>118</v>
      </c>
      <c r="D38" s="32" t="s">
        <v>52</v>
      </c>
      <c r="F38" s="33">
        <v>2899.8560000000002</v>
      </c>
      <c r="K38" s="34"/>
    </row>
    <row r="39" spans="1:75" x14ac:dyDescent="0.25">
      <c r="A39" s="24" t="s">
        <v>52</v>
      </c>
      <c r="B39" s="25" t="s">
        <v>119</v>
      </c>
      <c r="C39" s="139" t="s">
        <v>120</v>
      </c>
      <c r="D39" s="140"/>
      <c r="E39" s="26" t="s">
        <v>4</v>
      </c>
      <c r="F39" s="26" t="s">
        <v>4</v>
      </c>
      <c r="G39" s="26" t="s">
        <v>4</v>
      </c>
      <c r="H39" s="1">
        <f>SUM(H40:H43)</f>
        <v>0</v>
      </c>
      <c r="I39" s="1">
        <f>SUM(I40:I43)</f>
        <v>0</v>
      </c>
      <c r="J39" s="1">
        <f>SUM(J40:J43)</f>
        <v>0</v>
      </c>
      <c r="K39" s="27" t="s">
        <v>52</v>
      </c>
      <c r="AI39" s="10" t="s">
        <v>56</v>
      </c>
      <c r="AS39" s="1">
        <f>SUM(AJ40:AJ43)</f>
        <v>0</v>
      </c>
      <c r="AT39" s="1">
        <f>SUM(AK40:AK43)</f>
        <v>0</v>
      </c>
      <c r="AU39" s="1">
        <f>SUM(AL40:AL43)</f>
        <v>0</v>
      </c>
    </row>
    <row r="40" spans="1:75" ht="13.5" customHeight="1" x14ac:dyDescent="0.25">
      <c r="A40" s="2" t="s">
        <v>119</v>
      </c>
      <c r="B40" s="3" t="s">
        <v>121</v>
      </c>
      <c r="C40" s="83" t="s">
        <v>122</v>
      </c>
      <c r="D40" s="80"/>
      <c r="E40" s="3" t="s">
        <v>78</v>
      </c>
      <c r="F40" s="28">
        <v>37.200000000000003</v>
      </c>
      <c r="G40" s="28">
        <v>0</v>
      </c>
      <c r="H40" s="28">
        <f>F40*AO40</f>
        <v>0</v>
      </c>
      <c r="I40" s="28">
        <f>F40*AP40</f>
        <v>0</v>
      </c>
      <c r="J40" s="28">
        <f>F40*G40</f>
        <v>0</v>
      </c>
      <c r="K40" s="29" t="s">
        <v>61</v>
      </c>
      <c r="Z40" s="28">
        <f>IF(AQ40="5",BJ40,0)</f>
        <v>0</v>
      </c>
      <c r="AB40" s="28">
        <f>IF(AQ40="1",BH40,0)</f>
        <v>0</v>
      </c>
      <c r="AC40" s="28">
        <f>IF(AQ40="1",BI40,0)</f>
        <v>0</v>
      </c>
      <c r="AD40" s="28">
        <f>IF(AQ40="7",BH40,0)</f>
        <v>0</v>
      </c>
      <c r="AE40" s="28">
        <f>IF(AQ40="7",BI40,0)</f>
        <v>0</v>
      </c>
      <c r="AF40" s="28">
        <f>IF(AQ40="2",BH40,0)</f>
        <v>0</v>
      </c>
      <c r="AG40" s="28">
        <f>IF(AQ40="2",BI40,0)</f>
        <v>0</v>
      </c>
      <c r="AH40" s="28">
        <f>IF(AQ40="0",BJ40,0)</f>
        <v>0</v>
      </c>
      <c r="AI40" s="10" t="s">
        <v>56</v>
      </c>
      <c r="AJ40" s="28">
        <f>IF(AN40=0,J40,0)</f>
        <v>0</v>
      </c>
      <c r="AK40" s="28">
        <f>IF(AN40=12,J40,0)</f>
        <v>0</v>
      </c>
      <c r="AL40" s="28">
        <f>IF(AN40=21,J40,0)</f>
        <v>0</v>
      </c>
      <c r="AN40" s="28">
        <v>21</v>
      </c>
      <c r="AO40" s="28">
        <f>G40*0</f>
        <v>0</v>
      </c>
      <c r="AP40" s="28">
        <f>G40*(1-0)</f>
        <v>0</v>
      </c>
      <c r="AQ40" s="30" t="s">
        <v>57</v>
      </c>
      <c r="AV40" s="28">
        <f>AW40+AX40</f>
        <v>0</v>
      </c>
      <c r="AW40" s="28">
        <f>F40*AO40</f>
        <v>0</v>
      </c>
      <c r="AX40" s="28">
        <f>F40*AP40</f>
        <v>0</v>
      </c>
      <c r="AY40" s="30" t="s">
        <v>123</v>
      </c>
      <c r="AZ40" s="30" t="s">
        <v>63</v>
      </c>
      <c r="BA40" s="10" t="s">
        <v>64</v>
      </c>
      <c r="BC40" s="28">
        <f>AW40+AX40</f>
        <v>0</v>
      </c>
      <c r="BD40" s="28">
        <f>G40/(100-BE40)*100</f>
        <v>0</v>
      </c>
      <c r="BE40" s="28">
        <v>0</v>
      </c>
      <c r="BF40" s="28">
        <f>40</f>
        <v>40</v>
      </c>
      <c r="BH40" s="28">
        <f>F40*AO40</f>
        <v>0</v>
      </c>
      <c r="BI40" s="28">
        <f>F40*AP40</f>
        <v>0</v>
      </c>
      <c r="BJ40" s="28">
        <f>F40*G40</f>
        <v>0</v>
      </c>
      <c r="BK40" s="28"/>
      <c r="BL40" s="28">
        <v>11</v>
      </c>
      <c r="BW40" s="28">
        <v>21</v>
      </c>
    </row>
    <row r="41" spans="1:75" x14ac:dyDescent="0.25">
      <c r="A41" s="31"/>
      <c r="C41" s="32" t="s">
        <v>124</v>
      </c>
      <c r="D41" s="32" t="s">
        <v>52</v>
      </c>
      <c r="F41" s="33">
        <v>37.200000000000003</v>
      </c>
      <c r="K41" s="34"/>
    </row>
    <row r="42" spans="1:75" ht="13.5" customHeight="1" x14ac:dyDescent="0.25">
      <c r="A42" s="2" t="s">
        <v>125</v>
      </c>
      <c r="B42" s="3" t="s">
        <v>126</v>
      </c>
      <c r="C42" s="83" t="s">
        <v>127</v>
      </c>
      <c r="D42" s="80"/>
      <c r="E42" s="3" t="s">
        <v>128</v>
      </c>
      <c r="F42" s="28">
        <v>1</v>
      </c>
      <c r="G42" s="28">
        <v>0</v>
      </c>
      <c r="H42" s="28">
        <f>F42*AO42</f>
        <v>0</v>
      </c>
      <c r="I42" s="28">
        <f>F42*AP42</f>
        <v>0</v>
      </c>
      <c r="J42" s="28">
        <f>F42*G42</f>
        <v>0</v>
      </c>
      <c r="K42" s="29" t="s">
        <v>52</v>
      </c>
      <c r="Z42" s="28">
        <f>IF(AQ42="5",BJ42,0)</f>
        <v>0</v>
      </c>
      <c r="AB42" s="28">
        <f>IF(AQ42="1",BH42,0)</f>
        <v>0</v>
      </c>
      <c r="AC42" s="28">
        <f>IF(AQ42="1",BI42,0)</f>
        <v>0</v>
      </c>
      <c r="AD42" s="28">
        <f>IF(AQ42="7",BH42,0)</f>
        <v>0</v>
      </c>
      <c r="AE42" s="28">
        <f>IF(AQ42="7",BI42,0)</f>
        <v>0</v>
      </c>
      <c r="AF42" s="28">
        <f>IF(AQ42="2",BH42,0)</f>
        <v>0</v>
      </c>
      <c r="AG42" s="28">
        <f>IF(AQ42="2",BI42,0)</f>
        <v>0</v>
      </c>
      <c r="AH42" s="28">
        <f>IF(AQ42="0",BJ42,0)</f>
        <v>0</v>
      </c>
      <c r="AI42" s="10" t="s">
        <v>56</v>
      </c>
      <c r="AJ42" s="28">
        <f>IF(AN42=0,J42,0)</f>
        <v>0</v>
      </c>
      <c r="AK42" s="28">
        <f>IF(AN42=12,J42,0)</f>
        <v>0</v>
      </c>
      <c r="AL42" s="28">
        <f>IF(AN42=21,J42,0)</f>
        <v>0</v>
      </c>
      <c r="AN42" s="28">
        <v>21</v>
      </c>
      <c r="AO42" s="28">
        <f>G42*0.333333333</f>
        <v>0</v>
      </c>
      <c r="AP42" s="28">
        <f>G42*(1-0.333333333)</f>
        <v>0</v>
      </c>
      <c r="AQ42" s="30" t="s">
        <v>57</v>
      </c>
      <c r="AV42" s="28">
        <f>AW42+AX42</f>
        <v>0</v>
      </c>
      <c r="AW42" s="28">
        <f>F42*AO42</f>
        <v>0</v>
      </c>
      <c r="AX42" s="28">
        <f>F42*AP42</f>
        <v>0</v>
      </c>
      <c r="AY42" s="30" t="s">
        <v>123</v>
      </c>
      <c r="AZ42" s="30" t="s">
        <v>63</v>
      </c>
      <c r="BA42" s="10" t="s">
        <v>64</v>
      </c>
      <c r="BC42" s="28">
        <f>AW42+AX42</f>
        <v>0</v>
      </c>
      <c r="BD42" s="28">
        <f>G42/(100-BE42)*100</f>
        <v>0</v>
      </c>
      <c r="BE42" s="28">
        <v>0</v>
      </c>
      <c r="BF42" s="28">
        <f>42</f>
        <v>42</v>
      </c>
      <c r="BH42" s="28">
        <f>F42*AO42</f>
        <v>0</v>
      </c>
      <c r="BI42" s="28">
        <f>F42*AP42</f>
        <v>0</v>
      </c>
      <c r="BJ42" s="28">
        <f>F42*G42</f>
        <v>0</v>
      </c>
      <c r="BK42" s="28"/>
      <c r="BL42" s="28">
        <v>11</v>
      </c>
      <c r="BW42" s="28">
        <v>21</v>
      </c>
    </row>
    <row r="43" spans="1:75" ht="27" customHeight="1" x14ac:dyDescent="0.25">
      <c r="A43" s="2" t="s">
        <v>129</v>
      </c>
      <c r="B43" s="3" t="s">
        <v>130</v>
      </c>
      <c r="C43" s="83" t="s">
        <v>131</v>
      </c>
      <c r="D43" s="80"/>
      <c r="E43" s="3" t="s">
        <v>128</v>
      </c>
      <c r="F43" s="28">
        <v>1</v>
      </c>
      <c r="G43" s="28">
        <v>0</v>
      </c>
      <c r="H43" s="28">
        <f>F43*AO43</f>
        <v>0</v>
      </c>
      <c r="I43" s="28">
        <f>F43*AP43</f>
        <v>0</v>
      </c>
      <c r="J43" s="28">
        <f>F43*G43</f>
        <v>0</v>
      </c>
      <c r="K43" s="29" t="s">
        <v>52</v>
      </c>
      <c r="Z43" s="28">
        <f>IF(AQ43="5",BJ43,0)</f>
        <v>0</v>
      </c>
      <c r="AB43" s="28">
        <f>IF(AQ43="1",BH43,0)</f>
        <v>0</v>
      </c>
      <c r="AC43" s="28">
        <f>IF(AQ43="1",BI43,0)</f>
        <v>0</v>
      </c>
      <c r="AD43" s="28">
        <f>IF(AQ43="7",BH43,0)</f>
        <v>0</v>
      </c>
      <c r="AE43" s="28">
        <f>IF(AQ43="7",BI43,0)</f>
        <v>0</v>
      </c>
      <c r="AF43" s="28">
        <f>IF(AQ43="2",BH43,0)</f>
        <v>0</v>
      </c>
      <c r="AG43" s="28">
        <f>IF(AQ43="2",BI43,0)</f>
        <v>0</v>
      </c>
      <c r="AH43" s="28">
        <f>IF(AQ43="0",BJ43,0)</f>
        <v>0</v>
      </c>
      <c r="AI43" s="10" t="s">
        <v>56</v>
      </c>
      <c r="AJ43" s="28">
        <f>IF(AN43=0,J43,0)</f>
        <v>0</v>
      </c>
      <c r="AK43" s="28">
        <f>IF(AN43=12,J43,0)</f>
        <v>0</v>
      </c>
      <c r="AL43" s="28">
        <f>IF(AN43=21,J43,0)</f>
        <v>0</v>
      </c>
      <c r="AN43" s="28">
        <v>21</v>
      </c>
      <c r="AO43" s="28">
        <f>G43*0.25</f>
        <v>0</v>
      </c>
      <c r="AP43" s="28">
        <f>G43*(1-0.25)</f>
        <v>0</v>
      </c>
      <c r="AQ43" s="30" t="s">
        <v>57</v>
      </c>
      <c r="AV43" s="28">
        <f>AW43+AX43</f>
        <v>0</v>
      </c>
      <c r="AW43" s="28">
        <f>F43*AO43</f>
        <v>0</v>
      </c>
      <c r="AX43" s="28">
        <f>F43*AP43</f>
        <v>0</v>
      </c>
      <c r="AY43" s="30" t="s">
        <v>123</v>
      </c>
      <c r="AZ43" s="30" t="s">
        <v>63</v>
      </c>
      <c r="BA43" s="10" t="s">
        <v>64</v>
      </c>
      <c r="BC43" s="28">
        <f>AW43+AX43</f>
        <v>0</v>
      </c>
      <c r="BD43" s="28">
        <f>G43/(100-BE43)*100</f>
        <v>0</v>
      </c>
      <c r="BE43" s="28">
        <v>0</v>
      </c>
      <c r="BF43" s="28">
        <f>43</f>
        <v>43</v>
      </c>
      <c r="BH43" s="28">
        <f>F43*AO43</f>
        <v>0</v>
      </c>
      <c r="BI43" s="28">
        <f>F43*AP43</f>
        <v>0</v>
      </c>
      <c r="BJ43" s="28">
        <f>F43*G43</f>
        <v>0</v>
      </c>
      <c r="BK43" s="28"/>
      <c r="BL43" s="28">
        <v>11</v>
      </c>
      <c r="BW43" s="28">
        <v>21</v>
      </c>
    </row>
    <row r="44" spans="1:75" x14ac:dyDescent="0.25">
      <c r="A44" s="24" t="s">
        <v>52</v>
      </c>
      <c r="B44" s="25" t="s">
        <v>132</v>
      </c>
      <c r="C44" s="139" t="s">
        <v>133</v>
      </c>
      <c r="D44" s="140"/>
      <c r="E44" s="26" t="s">
        <v>4</v>
      </c>
      <c r="F44" s="26" t="s">
        <v>4</v>
      </c>
      <c r="G44" s="26" t="s">
        <v>4</v>
      </c>
      <c r="H44" s="1">
        <f>SUM(H45:H46)</f>
        <v>0</v>
      </c>
      <c r="I44" s="1">
        <f>SUM(I45:I46)</f>
        <v>0</v>
      </c>
      <c r="J44" s="1">
        <f>SUM(J45:J46)</f>
        <v>0</v>
      </c>
      <c r="K44" s="27" t="s">
        <v>52</v>
      </c>
      <c r="AI44" s="10" t="s">
        <v>56</v>
      </c>
      <c r="AS44" s="1">
        <f>SUM(AJ45:AJ46)</f>
        <v>0</v>
      </c>
      <c r="AT44" s="1">
        <f>SUM(AK45:AK46)</f>
        <v>0</v>
      </c>
      <c r="AU44" s="1">
        <f>SUM(AL45:AL46)</f>
        <v>0</v>
      </c>
    </row>
    <row r="45" spans="1:75" ht="13.5" customHeight="1" x14ac:dyDescent="0.25">
      <c r="A45" s="2" t="s">
        <v>134</v>
      </c>
      <c r="B45" s="3" t="s">
        <v>135</v>
      </c>
      <c r="C45" s="83" t="s">
        <v>136</v>
      </c>
      <c r="D45" s="80"/>
      <c r="E45" s="3" t="s">
        <v>137</v>
      </c>
      <c r="F45" s="28">
        <v>5</v>
      </c>
      <c r="G45" s="28">
        <v>0</v>
      </c>
      <c r="H45" s="28">
        <f>F45*AO45</f>
        <v>0</v>
      </c>
      <c r="I45" s="28">
        <f>F45*AP45</f>
        <v>0</v>
      </c>
      <c r="J45" s="28">
        <f>F45*G45</f>
        <v>0</v>
      </c>
      <c r="K45" s="29" t="s">
        <v>61</v>
      </c>
      <c r="Z45" s="28">
        <f>IF(AQ45="5",BJ45,0)</f>
        <v>0</v>
      </c>
      <c r="AB45" s="28">
        <f>IF(AQ45="1",BH45,0)</f>
        <v>0</v>
      </c>
      <c r="AC45" s="28">
        <f>IF(AQ45="1",BI45,0)</f>
        <v>0</v>
      </c>
      <c r="AD45" s="28">
        <f>IF(AQ45="7",BH45,0)</f>
        <v>0</v>
      </c>
      <c r="AE45" s="28">
        <f>IF(AQ45="7",BI45,0)</f>
        <v>0</v>
      </c>
      <c r="AF45" s="28">
        <f>IF(AQ45="2",BH45,0)</f>
        <v>0</v>
      </c>
      <c r="AG45" s="28">
        <f>IF(AQ45="2",BI45,0)</f>
        <v>0</v>
      </c>
      <c r="AH45" s="28">
        <f>IF(AQ45="0",BJ45,0)</f>
        <v>0</v>
      </c>
      <c r="AI45" s="10" t="s">
        <v>56</v>
      </c>
      <c r="AJ45" s="28">
        <f>IF(AN45=0,J45,0)</f>
        <v>0</v>
      </c>
      <c r="AK45" s="28">
        <f>IF(AN45=12,J45,0)</f>
        <v>0</v>
      </c>
      <c r="AL45" s="28">
        <f>IF(AN45=21,J45,0)</f>
        <v>0</v>
      </c>
      <c r="AN45" s="28">
        <v>21</v>
      </c>
      <c r="AO45" s="28">
        <f>G45*0</f>
        <v>0</v>
      </c>
      <c r="AP45" s="28">
        <f>G45*(1-0)</f>
        <v>0</v>
      </c>
      <c r="AQ45" s="30" t="s">
        <v>98</v>
      </c>
      <c r="AV45" s="28">
        <f>AW45+AX45</f>
        <v>0</v>
      </c>
      <c r="AW45" s="28">
        <f>F45*AO45</f>
        <v>0</v>
      </c>
      <c r="AX45" s="28">
        <f>F45*AP45</f>
        <v>0</v>
      </c>
      <c r="AY45" s="30" t="s">
        <v>138</v>
      </c>
      <c r="AZ45" s="30" t="s">
        <v>139</v>
      </c>
      <c r="BA45" s="10" t="s">
        <v>64</v>
      </c>
      <c r="BC45" s="28">
        <f>AW45+AX45</f>
        <v>0</v>
      </c>
      <c r="BD45" s="28">
        <f>G45/(100-BE45)*100</f>
        <v>0</v>
      </c>
      <c r="BE45" s="28">
        <v>0</v>
      </c>
      <c r="BF45" s="28">
        <f>45</f>
        <v>45</v>
      </c>
      <c r="BH45" s="28">
        <f>F45*AO45</f>
        <v>0</v>
      </c>
      <c r="BI45" s="28">
        <f>F45*AP45</f>
        <v>0</v>
      </c>
      <c r="BJ45" s="28">
        <f>F45*G45</f>
        <v>0</v>
      </c>
      <c r="BK45" s="28"/>
      <c r="BL45" s="28">
        <v>721</v>
      </c>
      <c r="BW45" s="28">
        <v>21</v>
      </c>
    </row>
    <row r="46" spans="1:75" ht="13.5" customHeight="1" x14ac:dyDescent="0.25">
      <c r="A46" s="2" t="s">
        <v>140</v>
      </c>
      <c r="B46" s="3" t="s">
        <v>141</v>
      </c>
      <c r="C46" s="83" t="s">
        <v>142</v>
      </c>
      <c r="D46" s="80"/>
      <c r="E46" s="3" t="s">
        <v>128</v>
      </c>
      <c r="F46" s="28">
        <v>1</v>
      </c>
      <c r="G46" s="28">
        <v>0</v>
      </c>
      <c r="H46" s="28">
        <f>F46*AO46</f>
        <v>0</v>
      </c>
      <c r="I46" s="28">
        <f>F46*AP46</f>
        <v>0</v>
      </c>
      <c r="J46" s="28">
        <f>F46*G46</f>
        <v>0</v>
      </c>
      <c r="K46" s="29" t="s">
        <v>52</v>
      </c>
      <c r="Z46" s="28">
        <f>IF(AQ46="5",BJ46,0)</f>
        <v>0</v>
      </c>
      <c r="AB46" s="28">
        <f>IF(AQ46="1",BH46,0)</f>
        <v>0</v>
      </c>
      <c r="AC46" s="28">
        <f>IF(AQ46="1",BI46,0)</f>
        <v>0</v>
      </c>
      <c r="AD46" s="28">
        <f>IF(AQ46="7",BH46,0)</f>
        <v>0</v>
      </c>
      <c r="AE46" s="28">
        <f>IF(AQ46="7",BI46,0)</f>
        <v>0</v>
      </c>
      <c r="AF46" s="28">
        <f>IF(AQ46="2",BH46,0)</f>
        <v>0</v>
      </c>
      <c r="AG46" s="28">
        <f>IF(AQ46="2",BI46,0)</f>
        <v>0</v>
      </c>
      <c r="AH46" s="28">
        <f>IF(AQ46="0",BJ46,0)</f>
        <v>0</v>
      </c>
      <c r="AI46" s="10" t="s">
        <v>56</v>
      </c>
      <c r="AJ46" s="28">
        <f>IF(AN46=0,J46,0)</f>
        <v>0</v>
      </c>
      <c r="AK46" s="28">
        <f>IF(AN46=12,J46,0)</f>
        <v>0</v>
      </c>
      <c r="AL46" s="28">
        <f>IF(AN46=21,J46,0)</f>
        <v>0</v>
      </c>
      <c r="AN46" s="28">
        <v>21</v>
      </c>
      <c r="AO46" s="28">
        <f>G46*0</f>
        <v>0</v>
      </c>
      <c r="AP46" s="28">
        <f>G46*(1-0)</f>
        <v>0</v>
      </c>
      <c r="AQ46" s="30" t="s">
        <v>98</v>
      </c>
      <c r="AV46" s="28">
        <f>AW46+AX46</f>
        <v>0</v>
      </c>
      <c r="AW46" s="28">
        <f>F46*AO46</f>
        <v>0</v>
      </c>
      <c r="AX46" s="28">
        <f>F46*AP46</f>
        <v>0</v>
      </c>
      <c r="AY46" s="30" t="s">
        <v>138</v>
      </c>
      <c r="AZ46" s="30" t="s">
        <v>139</v>
      </c>
      <c r="BA46" s="10" t="s">
        <v>64</v>
      </c>
      <c r="BC46" s="28">
        <f>AW46+AX46</f>
        <v>0</v>
      </c>
      <c r="BD46" s="28">
        <f>G46/(100-BE46)*100</f>
        <v>0</v>
      </c>
      <c r="BE46" s="28">
        <v>0</v>
      </c>
      <c r="BF46" s="28">
        <f>46</f>
        <v>46</v>
      </c>
      <c r="BH46" s="28">
        <f>F46*AO46</f>
        <v>0</v>
      </c>
      <c r="BI46" s="28">
        <f>F46*AP46</f>
        <v>0</v>
      </c>
      <c r="BJ46" s="28">
        <f>F46*G46</f>
        <v>0</v>
      </c>
      <c r="BK46" s="28"/>
      <c r="BL46" s="28">
        <v>721</v>
      </c>
      <c r="BW46" s="28">
        <v>21</v>
      </c>
    </row>
    <row r="47" spans="1:75" x14ac:dyDescent="0.25">
      <c r="A47" s="24" t="s">
        <v>52</v>
      </c>
      <c r="B47" s="25" t="s">
        <v>143</v>
      </c>
      <c r="C47" s="139" t="s">
        <v>144</v>
      </c>
      <c r="D47" s="140"/>
      <c r="E47" s="26" t="s">
        <v>4</v>
      </c>
      <c r="F47" s="26" t="s">
        <v>4</v>
      </c>
      <c r="G47" s="26" t="s">
        <v>4</v>
      </c>
      <c r="H47" s="1">
        <f>SUM(H48:H48)</f>
        <v>0</v>
      </c>
      <c r="I47" s="1">
        <f>SUM(I48:I48)</f>
        <v>0</v>
      </c>
      <c r="J47" s="1">
        <f>SUM(J48:J48)</f>
        <v>0</v>
      </c>
      <c r="K47" s="27" t="s">
        <v>52</v>
      </c>
      <c r="AI47" s="10" t="s">
        <v>56</v>
      </c>
      <c r="AS47" s="1">
        <f>SUM(AJ48:AJ48)</f>
        <v>0</v>
      </c>
      <c r="AT47" s="1">
        <f>SUM(AK48:AK48)</f>
        <v>0</v>
      </c>
      <c r="AU47" s="1">
        <f>SUM(AL48:AL48)</f>
        <v>0</v>
      </c>
    </row>
    <row r="48" spans="1:75" ht="13.5" customHeight="1" x14ac:dyDescent="0.25">
      <c r="A48" s="2" t="s">
        <v>145</v>
      </c>
      <c r="B48" s="3" t="s">
        <v>146</v>
      </c>
      <c r="C48" s="83" t="s">
        <v>147</v>
      </c>
      <c r="D48" s="80"/>
      <c r="E48" s="3" t="s">
        <v>148</v>
      </c>
      <c r="F48" s="28">
        <v>22</v>
      </c>
      <c r="G48" s="28">
        <v>0</v>
      </c>
      <c r="H48" s="28">
        <f>F48*AO48</f>
        <v>0</v>
      </c>
      <c r="I48" s="28">
        <f>F48*AP48</f>
        <v>0</v>
      </c>
      <c r="J48" s="28">
        <f>F48*G48</f>
        <v>0</v>
      </c>
      <c r="K48" s="29" t="s">
        <v>61</v>
      </c>
      <c r="Z48" s="28">
        <f>IF(AQ48="5",BJ48,0)</f>
        <v>0</v>
      </c>
      <c r="AB48" s="28">
        <f>IF(AQ48="1",BH48,0)</f>
        <v>0</v>
      </c>
      <c r="AC48" s="28">
        <f>IF(AQ48="1",BI48,0)</f>
        <v>0</v>
      </c>
      <c r="AD48" s="28">
        <f>IF(AQ48="7",BH48,0)</f>
        <v>0</v>
      </c>
      <c r="AE48" s="28">
        <f>IF(AQ48="7",BI48,0)</f>
        <v>0</v>
      </c>
      <c r="AF48" s="28">
        <f>IF(AQ48="2",BH48,0)</f>
        <v>0</v>
      </c>
      <c r="AG48" s="28">
        <f>IF(AQ48="2",BI48,0)</f>
        <v>0</v>
      </c>
      <c r="AH48" s="28">
        <f>IF(AQ48="0",BJ48,0)</f>
        <v>0</v>
      </c>
      <c r="AI48" s="10" t="s">
        <v>56</v>
      </c>
      <c r="AJ48" s="28">
        <f>IF(AN48=0,J48,0)</f>
        <v>0</v>
      </c>
      <c r="AK48" s="28">
        <f>IF(AN48=12,J48,0)</f>
        <v>0</v>
      </c>
      <c r="AL48" s="28">
        <f>IF(AN48=21,J48,0)</f>
        <v>0</v>
      </c>
      <c r="AN48" s="28">
        <v>21</v>
      </c>
      <c r="AO48" s="28">
        <f>G48*0.564846384</f>
        <v>0</v>
      </c>
      <c r="AP48" s="28">
        <f>G48*(1-0.564846384)</f>
        <v>0</v>
      </c>
      <c r="AQ48" s="30" t="s">
        <v>98</v>
      </c>
      <c r="AV48" s="28">
        <f>AW48+AX48</f>
        <v>0</v>
      </c>
      <c r="AW48" s="28">
        <f>F48*AO48</f>
        <v>0</v>
      </c>
      <c r="AX48" s="28">
        <f>F48*AP48</f>
        <v>0</v>
      </c>
      <c r="AY48" s="30" t="s">
        <v>149</v>
      </c>
      <c r="AZ48" s="30" t="s">
        <v>150</v>
      </c>
      <c r="BA48" s="10" t="s">
        <v>64</v>
      </c>
      <c r="BC48" s="28">
        <f>AW48+AX48</f>
        <v>0</v>
      </c>
      <c r="BD48" s="28">
        <f>G48/(100-BE48)*100</f>
        <v>0</v>
      </c>
      <c r="BE48" s="28">
        <v>0</v>
      </c>
      <c r="BF48" s="28">
        <f>48</f>
        <v>48</v>
      </c>
      <c r="BH48" s="28">
        <f>F48*AO48</f>
        <v>0</v>
      </c>
      <c r="BI48" s="28">
        <f>F48*AP48</f>
        <v>0</v>
      </c>
      <c r="BJ48" s="28">
        <f>F48*G48</f>
        <v>0</v>
      </c>
      <c r="BK48" s="28"/>
      <c r="BL48" s="28">
        <v>762</v>
      </c>
      <c r="BW48" s="28">
        <v>21</v>
      </c>
    </row>
    <row r="49" spans="1:75" x14ac:dyDescent="0.25">
      <c r="A49" s="31"/>
      <c r="C49" s="32" t="s">
        <v>151</v>
      </c>
      <c r="D49" s="32" t="s">
        <v>52</v>
      </c>
      <c r="F49" s="33">
        <v>22</v>
      </c>
      <c r="K49" s="34"/>
    </row>
    <row r="50" spans="1:75" x14ac:dyDescent="0.25">
      <c r="A50" s="24" t="s">
        <v>52</v>
      </c>
      <c r="B50" s="25" t="s">
        <v>152</v>
      </c>
      <c r="C50" s="139" t="s">
        <v>153</v>
      </c>
      <c r="D50" s="140"/>
      <c r="E50" s="26" t="s">
        <v>4</v>
      </c>
      <c r="F50" s="26" t="s">
        <v>4</v>
      </c>
      <c r="G50" s="26" t="s">
        <v>4</v>
      </c>
      <c r="H50" s="1">
        <f>SUM(H51:H53)</f>
        <v>0</v>
      </c>
      <c r="I50" s="1">
        <f>SUM(I51:I53)</f>
        <v>0</v>
      </c>
      <c r="J50" s="1">
        <f>SUM(J51:J53)</f>
        <v>0</v>
      </c>
      <c r="K50" s="27" t="s">
        <v>52</v>
      </c>
      <c r="AI50" s="10" t="s">
        <v>56</v>
      </c>
      <c r="AS50" s="1">
        <f>SUM(AJ51:AJ53)</f>
        <v>0</v>
      </c>
      <c r="AT50" s="1">
        <f>SUM(AK51:AK53)</f>
        <v>0</v>
      </c>
      <c r="AU50" s="1">
        <f>SUM(AL51:AL53)</f>
        <v>0</v>
      </c>
    </row>
    <row r="51" spans="1:75" ht="13.5" customHeight="1" x14ac:dyDescent="0.25">
      <c r="A51" s="2" t="s">
        <v>54</v>
      </c>
      <c r="B51" s="3" t="s">
        <v>154</v>
      </c>
      <c r="C51" s="83" t="s">
        <v>155</v>
      </c>
      <c r="D51" s="80"/>
      <c r="E51" s="3" t="s">
        <v>78</v>
      </c>
      <c r="F51" s="28">
        <v>21.5</v>
      </c>
      <c r="G51" s="28">
        <v>0</v>
      </c>
      <c r="H51" s="28">
        <f>F51*AO51</f>
        <v>0</v>
      </c>
      <c r="I51" s="28">
        <f>F51*AP51</f>
        <v>0</v>
      </c>
      <c r="J51" s="28">
        <f>F51*G51</f>
        <v>0</v>
      </c>
      <c r="K51" s="29" t="s">
        <v>61</v>
      </c>
      <c r="Z51" s="28">
        <f>IF(AQ51="5",BJ51,0)</f>
        <v>0</v>
      </c>
      <c r="AB51" s="28">
        <f>IF(AQ51="1",BH51,0)</f>
        <v>0</v>
      </c>
      <c r="AC51" s="28">
        <f>IF(AQ51="1",BI51,0)</f>
        <v>0</v>
      </c>
      <c r="AD51" s="28">
        <f>IF(AQ51="7",BH51,0)</f>
        <v>0</v>
      </c>
      <c r="AE51" s="28">
        <f>IF(AQ51="7",BI51,0)</f>
        <v>0</v>
      </c>
      <c r="AF51" s="28">
        <f>IF(AQ51="2",BH51,0)</f>
        <v>0</v>
      </c>
      <c r="AG51" s="28">
        <f>IF(AQ51="2",BI51,0)</f>
        <v>0</v>
      </c>
      <c r="AH51" s="28">
        <f>IF(AQ51="0",BJ51,0)</f>
        <v>0</v>
      </c>
      <c r="AI51" s="10" t="s">
        <v>56</v>
      </c>
      <c r="AJ51" s="28">
        <f>IF(AN51=0,J51,0)</f>
        <v>0</v>
      </c>
      <c r="AK51" s="28">
        <f>IF(AN51=12,J51,0)</f>
        <v>0</v>
      </c>
      <c r="AL51" s="28">
        <f>IF(AN51=21,J51,0)</f>
        <v>0</v>
      </c>
      <c r="AN51" s="28">
        <v>21</v>
      </c>
      <c r="AO51" s="28">
        <f>G51*0</f>
        <v>0</v>
      </c>
      <c r="AP51" s="28">
        <f>G51*(1-0)</f>
        <v>0</v>
      </c>
      <c r="AQ51" s="30" t="s">
        <v>98</v>
      </c>
      <c r="AV51" s="28">
        <f>AW51+AX51</f>
        <v>0</v>
      </c>
      <c r="AW51" s="28">
        <f>F51*AO51</f>
        <v>0</v>
      </c>
      <c r="AX51" s="28">
        <f>F51*AP51</f>
        <v>0</v>
      </c>
      <c r="AY51" s="30" t="s">
        <v>156</v>
      </c>
      <c r="AZ51" s="30" t="s">
        <v>150</v>
      </c>
      <c r="BA51" s="10" t="s">
        <v>64</v>
      </c>
      <c r="BC51" s="28">
        <f>AW51+AX51</f>
        <v>0</v>
      </c>
      <c r="BD51" s="28">
        <f>G51/(100-BE51)*100</f>
        <v>0</v>
      </c>
      <c r="BE51" s="28">
        <v>0</v>
      </c>
      <c r="BF51" s="28">
        <f>51</f>
        <v>51</v>
      </c>
      <c r="BH51" s="28">
        <f>F51*AO51</f>
        <v>0</v>
      </c>
      <c r="BI51" s="28">
        <f>F51*AP51</f>
        <v>0</v>
      </c>
      <c r="BJ51" s="28">
        <f>F51*G51</f>
        <v>0</v>
      </c>
      <c r="BK51" s="28"/>
      <c r="BL51" s="28">
        <v>764</v>
      </c>
      <c r="BW51" s="28">
        <v>21</v>
      </c>
    </row>
    <row r="52" spans="1:75" x14ac:dyDescent="0.25">
      <c r="A52" s="31"/>
      <c r="C52" s="32" t="s">
        <v>157</v>
      </c>
      <c r="D52" s="32" t="s">
        <v>52</v>
      </c>
      <c r="F52" s="33">
        <v>21.5</v>
      </c>
      <c r="K52" s="34"/>
    </row>
    <row r="53" spans="1:75" ht="13.5" customHeight="1" x14ac:dyDescent="0.25">
      <c r="A53" s="2" t="s">
        <v>158</v>
      </c>
      <c r="B53" s="3" t="s">
        <v>159</v>
      </c>
      <c r="C53" s="83" t="s">
        <v>160</v>
      </c>
      <c r="D53" s="80"/>
      <c r="E53" s="3" t="s">
        <v>78</v>
      </c>
      <c r="F53" s="28">
        <v>8.25</v>
      </c>
      <c r="G53" s="28">
        <v>0</v>
      </c>
      <c r="H53" s="28">
        <f>F53*AO53</f>
        <v>0</v>
      </c>
      <c r="I53" s="28">
        <f>F53*AP53</f>
        <v>0</v>
      </c>
      <c r="J53" s="28">
        <f>F53*G53</f>
        <v>0</v>
      </c>
      <c r="K53" s="29" t="s">
        <v>61</v>
      </c>
      <c r="Z53" s="28">
        <f>IF(AQ53="5",BJ53,0)</f>
        <v>0</v>
      </c>
      <c r="AB53" s="28">
        <f>IF(AQ53="1",BH53,0)</f>
        <v>0</v>
      </c>
      <c r="AC53" s="28">
        <f>IF(AQ53="1",BI53,0)</f>
        <v>0</v>
      </c>
      <c r="AD53" s="28">
        <f>IF(AQ53="7",BH53,0)</f>
        <v>0</v>
      </c>
      <c r="AE53" s="28">
        <f>IF(AQ53="7",BI53,0)</f>
        <v>0</v>
      </c>
      <c r="AF53" s="28">
        <f>IF(AQ53="2",BH53,0)</f>
        <v>0</v>
      </c>
      <c r="AG53" s="28">
        <f>IF(AQ53="2",BI53,0)</f>
        <v>0</v>
      </c>
      <c r="AH53" s="28">
        <f>IF(AQ53="0",BJ53,0)</f>
        <v>0</v>
      </c>
      <c r="AI53" s="10" t="s">
        <v>56</v>
      </c>
      <c r="AJ53" s="28">
        <f>IF(AN53=0,J53,0)</f>
        <v>0</v>
      </c>
      <c r="AK53" s="28">
        <f>IF(AN53=12,J53,0)</f>
        <v>0</v>
      </c>
      <c r="AL53" s="28">
        <f>IF(AN53=21,J53,0)</f>
        <v>0</v>
      </c>
      <c r="AN53" s="28">
        <v>21</v>
      </c>
      <c r="AO53" s="28">
        <f>G53*0</f>
        <v>0</v>
      </c>
      <c r="AP53" s="28">
        <f>G53*(1-0)</f>
        <v>0</v>
      </c>
      <c r="AQ53" s="30" t="s">
        <v>98</v>
      </c>
      <c r="AV53" s="28">
        <f>AW53+AX53</f>
        <v>0</v>
      </c>
      <c r="AW53" s="28">
        <f>F53*AO53</f>
        <v>0</v>
      </c>
      <c r="AX53" s="28">
        <f>F53*AP53</f>
        <v>0</v>
      </c>
      <c r="AY53" s="30" t="s">
        <v>156</v>
      </c>
      <c r="AZ53" s="30" t="s">
        <v>150</v>
      </c>
      <c r="BA53" s="10" t="s">
        <v>64</v>
      </c>
      <c r="BC53" s="28">
        <f>AW53+AX53</f>
        <v>0</v>
      </c>
      <c r="BD53" s="28">
        <f>G53/(100-BE53)*100</f>
        <v>0</v>
      </c>
      <c r="BE53" s="28">
        <v>0</v>
      </c>
      <c r="BF53" s="28">
        <f>53</f>
        <v>53</v>
      </c>
      <c r="BH53" s="28">
        <f>F53*AO53</f>
        <v>0</v>
      </c>
      <c r="BI53" s="28">
        <f>F53*AP53</f>
        <v>0</v>
      </c>
      <c r="BJ53" s="28">
        <f>F53*G53</f>
        <v>0</v>
      </c>
      <c r="BK53" s="28"/>
      <c r="BL53" s="28">
        <v>764</v>
      </c>
      <c r="BW53" s="28">
        <v>21</v>
      </c>
    </row>
    <row r="54" spans="1:75" x14ac:dyDescent="0.25">
      <c r="A54" s="31"/>
      <c r="C54" s="32" t="s">
        <v>161</v>
      </c>
      <c r="D54" s="32" t="s">
        <v>52</v>
      </c>
      <c r="F54" s="33">
        <v>8.25</v>
      </c>
      <c r="K54" s="34"/>
    </row>
    <row r="55" spans="1:75" x14ac:dyDescent="0.25">
      <c r="A55" s="24" t="s">
        <v>52</v>
      </c>
      <c r="B55" s="25" t="s">
        <v>162</v>
      </c>
      <c r="C55" s="139" t="s">
        <v>163</v>
      </c>
      <c r="D55" s="140"/>
      <c r="E55" s="26" t="s">
        <v>4</v>
      </c>
      <c r="F55" s="26" t="s">
        <v>4</v>
      </c>
      <c r="G55" s="26" t="s">
        <v>4</v>
      </c>
      <c r="H55" s="1">
        <f>SUM(H56:H59)</f>
        <v>0</v>
      </c>
      <c r="I55" s="1">
        <f>SUM(I56:I59)</f>
        <v>0</v>
      </c>
      <c r="J55" s="1">
        <f>SUM(J56:J59)</f>
        <v>0</v>
      </c>
      <c r="K55" s="27" t="s">
        <v>52</v>
      </c>
      <c r="AI55" s="10" t="s">
        <v>56</v>
      </c>
      <c r="AS55" s="1">
        <f>SUM(AJ56:AJ59)</f>
        <v>0</v>
      </c>
      <c r="AT55" s="1">
        <f>SUM(AK56:AK59)</f>
        <v>0</v>
      </c>
      <c r="AU55" s="1">
        <f>SUM(AL56:AL59)</f>
        <v>0</v>
      </c>
    </row>
    <row r="56" spans="1:75" ht="13.5" customHeight="1" x14ac:dyDescent="0.25">
      <c r="A56" s="2" t="s">
        <v>164</v>
      </c>
      <c r="B56" s="3" t="s">
        <v>165</v>
      </c>
      <c r="C56" s="83" t="s">
        <v>166</v>
      </c>
      <c r="D56" s="80"/>
      <c r="E56" s="3" t="s">
        <v>167</v>
      </c>
      <c r="F56" s="28">
        <v>1</v>
      </c>
      <c r="G56" s="28">
        <v>0</v>
      </c>
      <c r="H56" s="28">
        <f>F56*AO56</f>
        <v>0</v>
      </c>
      <c r="I56" s="28">
        <f>F56*AP56</f>
        <v>0</v>
      </c>
      <c r="J56" s="28">
        <f>F56*G56</f>
        <v>0</v>
      </c>
      <c r="K56" s="29" t="s">
        <v>61</v>
      </c>
      <c r="Z56" s="28">
        <f>IF(AQ56="5",BJ56,0)</f>
        <v>0</v>
      </c>
      <c r="AB56" s="28">
        <f>IF(AQ56="1",BH56,0)</f>
        <v>0</v>
      </c>
      <c r="AC56" s="28">
        <f>IF(AQ56="1",BI56,0)</f>
        <v>0</v>
      </c>
      <c r="AD56" s="28">
        <f>IF(AQ56="7",BH56,0)</f>
        <v>0</v>
      </c>
      <c r="AE56" s="28">
        <f>IF(AQ56="7",BI56,0)</f>
        <v>0</v>
      </c>
      <c r="AF56" s="28">
        <f>IF(AQ56="2",BH56,0)</f>
        <v>0</v>
      </c>
      <c r="AG56" s="28">
        <f>IF(AQ56="2",BI56,0)</f>
        <v>0</v>
      </c>
      <c r="AH56" s="28">
        <f>IF(AQ56="0",BJ56,0)</f>
        <v>0</v>
      </c>
      <c r="AI56" s="10" t="s">
        <v>56</v>
      </c>
      <c r="AJ56" s="28">
        <f>IF(AN56=0,J56,0)</f>
        <v>0</v>
      </c>
      <c r="AK56" s="28">
        <f>IF(AN56=12,J56,0)</f>
        <v>0</v>
      </c>
      <c r="AL56" s="28">
        <f>IF(AN56=21,J56,0)</f>
        <v>0</v>
      </c>
      <c r="AN56" s="28">
        <v>21</v>
      </c>
      <c r="AO56" s="28">
        <f>G56*0.078947368</f>
        <v>0</v>
      </c>
      <c r="AP56" s="28">
        <f>G56*(1-0.078947368)</f>
        <v>0</v>
      </c>
      <c r="AQ56" s="30" t="s">
        <v>98</v>
      </c>
      <c r="AV56" s="28">
        <f>AW56+AX56</f>
        <v>0</v>
      </c>
      <c r="AW56" s="28">
        <f>F56*AO56</f>
        <v>0</v>
      </c>
      <c r="AX56" s="28">
        <f>F56*AP56</f>
        <v>0</v>
      </c>
      <c r="AY56" s="30" t="s">
        <v>168</v>
      </c>
      <c r="AZ56" s="30" t="s">
        <v>150</v>
      </c>
      <c r="BA56" s="10" t="s">
        <v>64</v>
      </c>
      <c r="BC56" s="28">
        <f>AW56+AX56</f>
        <v>0</v>
      </c>
      <c r="BD56" s="28">
        <f>G56/(100-BE56)*100</f>
        <v>0</v>
      </c>
      <c r="BE56" s="28">
        <v>0</v>
      </c>
      <c r="BF56" s="28">
        <f>56</f>
        <v>56</v>
      </c>
      <c r="BH56" s="28">
        <f>F56*AO56</f>
        <v>0</v>
      </c>
      <c r="BI56" s="28">
        <f>F56*AP56</f>
        <v>0</v>
      </c>
      <c r="BJ56" s="28">
        <f>F56*G56</f>
        <v>0</v>
      </c>
      <c r="BK56" s="28"/>
      <c r="BL56" s="28">
        <v>767</v>
      </c>
      <c r="BW56" s="28">
        <v>21</v>
      </c>
    </row>
    <row r="57" spans="1:75" ht="13.5" customHeight="1" x14ac:dyDescent="0.25">
      <c r="A57" s="2" t="s">
        <v>169</v>
      </c>
      <c r="B57" s="3" t="s">
        <v>170</v>
      </c>
      <c r="C57" s="83" t="s">
        <v>171</v>
      </c>
      <c r="D57" s="80"/>
      <c r="E57" s="3" t="s">
        <v>172</v>
      </c>
      <c r="F57" s="28">
        <v>1</v>
      </c>
      <c r="G57" s="28">
        <v>0</v>
      </c>
      <c r="H57" s="28">
        <f>F57*AO57</f>
        <v>0</v>
      </c>
      <c r="I57" s="28">
        <f>F57*AP57</f>
        <v>0</v>
      </c>
      <c r="J57" s="28">
        <f>F57*G57</f>
        <v>0</v>
      </c>
      <c r="K57" s="29" t="s">
        <v>61</v>
      </c>
      <c r="Z57" s="28">
        <f>IF(AQ57="5",BJ57,0)</f>
        <v>0</v>
      </c>
      <c r="AB57" s="28">
        <f>IF(AQ57="1",BH57,0)</f>
        <v>0</v>
      </c>
      <c r="AC57" s="28">
        <f>IF(AQ57="1",BI57,0)</f>
        <v>0</v>
      </c>
      <c r="AD57" s="28">
        <f>IF(AQ57="7",BH57,0)</f>
        <v>0</v>
      </c>
      <c r="AE57" s="28">
        <f>IF(AQ57="7",BI57,0)</f>
        <v>0</v>
      </c>
      <c r="AF57" s="28">
        <f>IF(AQ57="2",BH57,0)</f>
        <v>0</v>
      </c>
      <c r="AG57" s="28">
        <f>IF(AQ57="2",BI57,0)</f>
        <v>0</v>
      </c>
      <c r="AH57" s="28">
        <f>IF(AQ57="0",BJ57,0)</f>
        <v>0</v>
      </c>
      <c r="AI57" s="10" t="s">
        <v>56</v>
      </c>
      <c r="AJ57" s="28">
        <f>IF(AN57=0,J57,0)</f>
        <v>0</v>
      </c>
      <c r="AK57" s="28">
        <f>IF(AN57=12,J57,0)</f>
        <v>0</v>
      </c>
      <c r="AL57" s="28">
        <f>IF(AN57=21,J57,0)</f>
        <v>0</v>
      </c>
      <c r="AN57" s="28">
        <v>21</v>
      </c>
      <c r="AO57" s="28">
        <f>G57*0.374108963</f>
        <v>0</v>
      </c>
      <c r="AP57" s="28">
        <f>G57*(1-0.374108963)</f>
        <v>0</v>
      </c>
      <c r="AQ57" s="30" t="s">
        <v>98</v>
      </c>
      <c r="AV57" s="28">
        <f>AW57+AX57</f>
        <v>0</v>
      </c>
      <c r="AW57" s="28">
        <f>F57*AO57</f>
        <v>0</v>
      </c>
      <c r="AX57" s="28">
        <f>F57*AP57</f>
        <v>0</v>
      </c>
      <c r="AY57" s="30" t="s">
        <v>168</v>
      </c>
      <c r="AZ57" s="30" t="s">
        <v>150</v>
      </c>
      <c r="BA57" s="10" t="s">
        <v>64</v>
      </c>
      <c r="BC57" s="28">
        <f>AW57+AX57</f>
        <v>0</v>
      </c>
      <c r="BD57" s="28">
        <f>G57/(100-BE57)*100</f>
        <v>0</v>
      </c>
      <c r="BE57" s="28">
        <v>0</v>
      </c>
      <c r="BF57" s="28">
        <f>57</f>
        <v>57</v>
      </c>
      <c r="BH57" s="28">
        <f>F57*AO57</f>
        <v>0</v>
      </c>
      <c r="BI57" s="28">
        <f>F57*AP57</f>
        <v>0</v>
      </c>
      <c r="BJ57" s="28">
        <f>F57*G57</f>
        <v>0</v>
      </c>
      <c r="BK57" s="28"/>
      <c r="BL57" s="28">
        <v>767</v>
      </c>
      <c r="BW57" s="28">
        <v>21</v>
      </c>
    </row>
    <row r="58" spans="1:75" x14ac:dyDescent="0.25">
      <c r="A58" s="31"/>
      <c r="C58" s="32" t="s">
        <v>57</v>
      </c>
      <c r="D58" s="32" t="s">
        <v>173</v>
      </c>
      <c r="F58" s="33">
        <v>1</v>
      </c>
      <c r="K58" s="34"/>
    </row>
    <row r="59" spans="1:75" ht="13.5" customHeight="1" x14ac:dyDescent="0.25">
      <c r="A59" s="2" t="s">
        <v>174</v>
      </c>
      <c r="B59" s="3" t="s">
        <v>175</v>
      </c>
      <c r="C59" s="83" t="s">
        <v>176</v>
      </c>
      <c r="D59" s="80"/>
      <c r="E59" s="3" t="s">
        <v>78</v>
      </c>
      <c r="F59" s="28">
        <v>21</v>
      </c>
      <c r="G59" s="28">
        <v>0</v>
      </c>
      <c r="H59" s="28">
        <f>F59*AO59</f>
        <v>0</v>
      </c>
      <c r="I59" s="28">
        <f>F59*AP59</f>
        <v>0</v>
      </c>
      <c r="J59" s="28">
        <f>F59*G59</f>
        <v>0</v>
      </c>
      <c r="K59" s="29" t="s">
        <v>61</v>
      </c>
      <c r="Z59" s="28">
        <f>IF(AQ59="5",BJ59,0)</f>
        <v>0</v>
      </c>
      <c r="AB59" s="28">
        <f>IF(AQ59="1",BH59,0)</f>
        <v>0</v>
      </c>
      <c r="AC59" s="28">
        <f>IF(AQ59="1",BI59,0)</f>
        <v>0</v>
      </c>
      <c r="AD59" s="28">
        <f>IF(AQ59="7",BH59,0)</f>
        <v>0</v>
      </c>
      <c r="AE59" s="28">
        <f>IF(AQ59="7",BI59,0)</f>
        <v>0</v>
      </c>
      <c r="AF59" s="28">
        <f>IF(AQ59="2",BH59,0)</f>
        <v>0</v>
      </c>
      <c r="AG59" s="28">
        <f>IF(AQ59="2",BI59,0)</f>
        <v>0</v>
      </c>
      <c r="AH59" s="28">
        <f>IF(AQ59="0",BJ59,0)</f>
        <v>0</v>
      </c>
      <c r="AI59" s="10" t="s">
        <v>56</v>
      </c>
      <c r="AJ59" s="28">
        <f>IF(AN59=0,J59,0)</f>
        <v>0</v>
      </c>
      <c r="AK59" s="28">
        <f>IF(AN59=12,J59,0)</f>
        <v>0</v>
      </c>
      <c r="AL59" s="28">
        <f>IF(AN59=21,J59,0)</f>
        <v>0</v>
      </c>
      <c r="AN59" s="28">
        <v>21</v>
      </c>
      <c r="AO59" s="28">
        <f>G59*0</f>
        <v>0</v>
      </c>
      <c r="AP59" s="28">
        <f>G59*(1-0)</f>
        <v>0</v>
      </c>
      <c r="AQ59" s="30" t="s">
        <v>98</v>
      </c>
      <c r="AV59" s="28">
        <f>AW59+AX59</f>
        <v>0</v>
      </c>
      <c r="AW59" s="28">
        <f>F59*AO59</f>
        <v>0</v>
      </c>
      <c r="AX59" s="28">
        <f>F59*AP59</f>
        <v>0</v>
      </c>
      <c r="AY59" s="30" t="s">
        <v>168</v>
      </c>
      <c r="AZ59" s="30" t="s">
        <v>150</v>
      </c>
      <c r="BA59" s="10" t="s">
        <v>64</v>
      </c>
      <c r="BC59" s="28">
        <f>AW59+AX59</f>
        <v>0</v>
      </c>
      <c r="BD59" s="28">
        <f>G59/(100-BE59)*100</f>
        <v>0</v>
      </c>
      <c r="BE59" s="28">
        <v>0</v>
      </c>
      <c r="BF59" s="28">
        <f>59</f>
        <v>59</v>
      </c>
      <c r="BH59" s="28">
        <f>F59*AO59</f>
        <v>0</v>
      </c>
      <c r="BI59" s="28">
        <f>F59*AP59</f>
        <v>0</v>
      </c>
      <c r="BJ59" s="28">
        <f>F59*G59</f>
        <v>0</v>
      </c>
      <c r="BK59" s="28"/>
      <c r="BL59" s="28">
        <v>767</v>
      </c>
      <c r="BW59" s="28">
        <v>21</v>
      </c>
    </row>
    <row r="60" spans="1:75" x14ac:dyDescent="0.25">
      <c r="A60" s="31"/>
      <c r="C60" s="32" t="s">
        <v>174</v>
      </c>
      <c r="D60" s="32" t="s">
        <v>52</v>
      </c>
      <c r="F60" s="33">
        <v>21</v>
      </c>
      <c r="K60" s="34"/>
    </row>
    <row r="61" spans="1:75" x14ac:dyDescent="0.25">
      <c r="A61" s="24" t="s">
        <v>52</v>
      </c>
      <c r="B61" s="25" t="s">
        <v>177</v>
      </c>
      <c r="C61" s="139" t="s">
        <v>178</v>
      </c>
      <c r="D61" s="140"/>
      <c r="E61" s="26" t="s">
        <v>4</v>
      </c>
      <c r="F61" s="26" t="s">
        <v>4</v>
      </c>
      <c r="G61" s="26" t="s">
        <v>4</v>
      </c>
      <c r="H61" s="1">
        <f>SUM(H62:H82)</f>
        <v>0</v>
      </c>
      <c r="I61" s="1">
        <f>SUM(I62:I82)</f>
        <v>0</v>
      </c>
      <c r="J61" s="1">
        <f>SUM(J62:J82)</f>
        <v>0</v>
      </c>
      <c r="K61" s="27" t="s">
        <v>52</v>
      </c>
      <c r="AI61" s="10" t="s">
        <v>56</v>
      </c>
      <c r="AS61" s="1">
        <f>SUM(AJ62:AJ82)</f>
        <v>0</v>
      </c>
      <c r="AT61" s="1">
        <f>SUM(AK62:AK82)</f>
        <v>0</v>
      </c>
      <c r="AU61" s="1">
        <f>SUM(AL62:AL82)</f>
        <v>0</v>
      </c>
    </row>
    <row r="62" spans="1:75" ht="13.5" customHeight="1" x14ac:dyDescent="0.25">
      <c r="A62" s="2" t="s">
        <v>179</v>
      </c>
      <c r="B62" s="3" t="s">
        <v>180</v>
      </c>
      <c r="C62" s="83" t="s">
        <v>181</v>
      </c>
      <c r="D62" s="80"/>
      <c r="E62" s="3" t="s">
        <v>148</v>
      </c>
      <c r="F62" s="28">
        <v>10.3125</v>
      </c>
      <c r="G62" s="28">
        <v>0</v>
      </c>
      <c r="H62" s="28">
        <f>F62*AO62</f>
        <v>0</v>
      </c>
      <c r="I62" s="28">
        <f>F62*AP62</f>
        <v>0</v>
      </c>
      <c r="J62" s="28">
        <f>F62*G62</f>
        <v>0</v>
      </c>
      <c r="K62" s="29" t="s">
        <v>61</v>
      </c>
      <c r="Z62" s="28">
        <f>IF(AQ62="5",BJ62,0)</f>
        <v>0</v>
      </c>
      <c r="AB62" s="28">
        <f>IF(AQ62="1",BH62,0)</f>
        <v>0</v>
      </c>
      <c r="AC62" s="28">
        <f>IF(AQ62="1",BI62,0)</f>
        <v>0</v>
      </c>
      <c r="AD62" s="28">
        <f>IF(AQ62="7",BH62,0)</f>
        <v>0</v>
      </c>
      <c r="AE62" s="28">
        <f>IF(AQ62="7",BI62,0)</f>
        <v>0</v>
      </c>
      <c r="AF62" s="28">
        <f>IF(AQ62="2",BH62,0)</f>
        <v>0</v>
      </c>
      <c r="AG62" s="28">
        <f>IF(AQ62="2",BI62,0)</f>
        <v>0</v>
      </c>
      <c r="AH62" s="28">
        <f>IF(AQ62="0",BJ62,0)</f>
        <v>0</v>
      </c>
      <c r="AI62" s="10" t="s">
        <v>56</v>
      </c>
      <c r="AJ62" s="28">
        <f>IF(AN62=0,J62,0)</f>
        <v>0</v>
      </c>
      <c r="AK62" s="28">
        <f>IF(AN62=12,J62,0)</f>
        <v>0</v>
      </c>
      <c r="AL62" s="28">
        <f>IF(AN62=21,J62,0)</f>
        <v>0</v>
      </c>
      <c r="AN62" s="28">
        <v>21</v>
      </c>
      <c r="AO62" s="28">
        <f>G62*0.136396107</f>
        <v>0</v>
      </c>
      <c r="AP62" s="28">
        <f>G62*(1-0.136396107)</f>
        <v>0</v>
      </c>
      <c r="AQ62" s="30" t="s">
        <v>57</v>
      </c>
      <c r="AV62" s="28">
        <f>AW62+AX62</f>
        <v>0</v>
      </c>
      <c r="AW62" s="28">
        <f>F62*AO62</f>
        <v>0</v>
      </c>
      <c r="AX62" s="28">
        <f>F62*AP62</f>
        <v>0</v>
      </c>
      <c r="AY62" s="30" t="s">
        <v>182</v>
      </c>
      <c r="AZ62" s="30" t="s">
        <v>80</v>
      </c>
      <c r="BA62" s="10" t="s">
        <v>64</v>
      </c>
      <c r="BC62" s="28">
        <f>AW62+AX62</f>
        <v>0</v>
      </c>
      <c r="BD62" s="28">
        <f>G62/(100-BE62)*100</f>
        <v>0</v>
      </c>
      <c r="BE62" s="28">
        <v>0</v>
      </c>
      <c r="BF62" s="28">
        <f>62</f>
        <v>62</v>
      </c>
      <c r="BH62" s="28">
        <f>F62*AO62</f>
        <v>0</v>
      </c>
      <c r="BI62" s="28">
        <f>F62*AP62</f>
        <v>0</v>
      </c>
      <c r="BJ62" s="28">
        <f>F62*G62</f>
        <v>0</v>
      </c>
      <c r="BK62" s="28"/>
      <c r="BL62" s="28">
        <v>96</v>
      </c>
      <c r="BW62" s="28">
        <v>21</v>
      </c>
    </row>
    <row r="63" spans="1:75" x14ac:dyDescent="0.25">
      <c r="A63" s="31"/>
      <c r="C63" s="32" t="s">
        <v>183</v>
      </c>
      <c r="D63" s="32" t="s">
        <v>52</v>
      </c>
      <c r="F63" s="33">
        <v>10.3125</v>
      </c>
      <c r="K63" s="34"/>
    </row>
    <row r="64" spans="1:75" ht="13.5" customHeight="1" x14ac:dyDescent="0.25">
      <c r="A64" s="2" t="s">
        <v>184</v>
      </c>
      <c r="B64" s="3" t="s">
        <v>185</v>
      </c>
      <c r="C64" s="83" t="s">
        <v>186</v>
      </c>
      <c r="D64" s="80"/>
      <c r="E64" s="3" t="s">
        <v>60</v>
      </c>
      <c r="F64" s="28">
        <v>14.019500000000001</v>
      </c>
      <c r="G64" s="28">
        <v>0</v>
      </c>
      <c r="H64" s="28">
        <f>F64*AO64</f>
        <v>0</v>
      </c>
      <c r="I64" s="28">
        <f>F64*AP64</f>
        <v>0</v>
      </c>
      <c r="J64" s="28">
        <f>F64*G64</f>
        <v>0</v>
      </c>
      <c r="K64" s="29" t="s">
        <v>61</v>
      </c>
      <c r="Z64" s="28">
        <f>IF(AQ64="5",BJ64,0)</f>
        <v>0</v>
      </c>
      <c r="AB64" s="28">
        <f>IF(AQ64="1",BH64,0)</f>
        <v>0</v>
      </c>
      <c r="AC64" s="28">
        <f>IF(AQ64="1",BI64,0)</f>
        <v>0</v>
      </c>
      <c r="AD64" s="28">
        <f>IF(AQ64="7",BH64,0)</f>
        <v>0</v>
      </c>
      <c r="AE64" s="28">
        <f>IF(AQ64="7",BI64,0)</f>
        <v>0</v>
      </c>
      <c r="AF64" s="28">
        <f>IF(AQ64="2",BH64,0)</f>
        <v>0</v>
      </c>
      <c r="AG64" s="28">
        <f>IF(AQ64="2",BI64,0)</f>
        <v>0</v>
      </c>
      <c r="AH64" s="28">
        <f>IF(AQ64="0",BJ64,0)</f>
        <v>0</v>
      </c>
      <c r="AI64" s="10" t="s">
        <v>56</v>
      </c>
      <c r="AJ64" s="28">
        <f>IF(AN64=0,J64,0)</f>
        <v>0</v>
      </c>
      <c r="AK64" s="28">
        <f>IF(AN64=12,J64,0)</f>
        <v>0</v>
      </c>
      <c r="AL64" s="28">
        <f>IF(AN64=21,J64,0)</f>
        <v>0</v>
      </c>
      <c r="AN64" s="28">
        <v>21</v>
      </c>
      <c r="AO64" s="28">
        <f>G64*0.040112074</f>
        <v>0</v>
      </c>
      <c r="AP64" s="28">
        <f>G64*(1-0.040112074)</f>
        <v>0</v>
      </c>
      <c r="AQ64" s="30" t="s">
        <v>57</v>
      </c>
      <c r="AV64" s="28">
        <f>AW64+AX64</f>
        <v>0</v>
      </c>
      <c r="AW64" s="28">
        <f>F64*AO64</f>
        <v>0</v>
      </c>
      <c r="AX64" s="28">
        <f>F64*AP64</f>
        <v>0</v>
      </c>
      <c r="AY64" s="30" t="s">
        <v>182</v>
      </c>
      <c r="AZ64" s="30" t="s">
        <v>80</v>
      </c>
      <c r="BA64" s="10" t="s">
        <v>64</v>
      </c>
      <c r="BC64" s="28">
        <f>AW64+AX64</f>
        <v>0</v>
      </c>
      <c r="BD64" s="28">
        <f>G64/(100-BE64)*100</f>
        <v>0</v>
      </c>
      <c r="BE64" s="28">
        <v>0</v>
      </c>
      <c r="BF64" s="28">
        <f>64</f>
        <v>64</v>
      </c>
      <c r="BH64" s="28">
        <f>F64*AO64</f>
        <v>0</v>
      </c>
      <c r="BI64" s="28">
        <f>F64*AP64</f>
        <v>0</v>
      </c>
      <c r="BJ64" s="28">
        <f>F64*G64</f>
        <v>0</v>
      </c>
      <c r="BK64" s="28"/>
      <c r="BL64" s="28">
        <v>96</v>
      </c>
      <c r="BW64" s="28">
        <v>21</v>
      </c>
    </row>
    <row r="65" spans="1:75" x14ac:dyDescent="0.25">
      <c r="A65" s="31"/>
      <c r="C65" s="32" t="s">
        <v>187</v>
      </c>
      <c r="D65" s="32" t="s">
        <v>52</v>
      </c>
      <c r="F65" s="33">
        <v>3.44</v>
      </c>
      <c r="K65" s="34"/>
    </row>
    <row r="66" spans="1:75" x14ac:dyDescent="0.25">
      <c r="A66" s="31"/>
      <c r="C66" s="32" t="s">
        <v>188</v>
      </c>
      <c r="D66" s="32" t="s">
        <v>52</v>
      </c>
      <c r="F66" s="33">
        <v>2.8384999999999998</v>
      </c>
      <c r="K66" s="34"/>
    </row>
    <row r="67" spans="1:75" x14ac:dyDescent="0.25">
      <c r="A67" s="31"/>
      <c r="C67" s="32" t="s">
        <v>188</v>
      </c>
      <c r="D67" s="32" t="s">
        <v>52</v>
      </c>
      <c r="F67" s="33">
        <v>2.8384999999999998</v>
      </c>
      <c r="K67" s="34"/>
    </row>
    <row r="68" spans="1:75" x14ac:dyDescent="0.25">
      <c r="A68" s="31"/>
      <c r="C68" s="32" t="s">
        <v>189</v>
      </c>
      <c r="D68" s="32" t="s">
        <v>52</v>
      </c>
      <c r="F68" s="33">
        <v>2.7524999999999999</v>
      </c>
      <c r="K68" s="34"/>
    </row>
    <row r="69" spans="1:75" x14ac:dyDescent="0.25">
      <c r="A69" s="31"/>
      <c r="C69" s="32" t="s">
        <v>190</v>
      </c>
      <c r="D69" s="32" t="s">
        <v>52</v>
      </c>
      <c r="F69" s="33">
        <v>2.15</v>
      </c>
      <c r="K69" s="34"/>
    </row>
    <row r="70" spans="1:75" ht="13.5" customHeight="1" x14ac:dyDescent="0.25">
      <c r="A70" s="2" t="s">
        <v>191</v>
      </c>
      <c r="B70" s="3" t="s">
        <v>192</v>
      </c>
      <c r="C70" s="83" t="s">
        <v>193</v>
      </c>
      <c r="D70" s="80"/>
      <c r="E70" s="3" t="s">
        <v>78</v>
      </c>
      <c r="F70" s="28">
        <v>21</v>
      </c>
      <c r="G70" s="28">
        <v>0</v>
      </c>
      <c r="H70" s="28">
        <f>F70*AO70</f>
        <v>0</v>
      </c>
      <c r="I70" s="28">
        <f>F70*AP70</f>
        <v>0</v>
      </c>
      <c r="J70" s="28">
        <f>F70*G70</f>
        <v>0</v>
      </c>
      <c r="K70" s="29" t="s">
        <v>61</v>
      </c>
      <c r="Z70" s="28">
        <f>IF(AQ70="5",BJ70,0)</f>
        <v>0</v>
      </c>
      <c r="AB70" s="28">
        <f>IF(AQ70="1",BH70,0)</f>
        <v>0</v>
      </c>
      <c r="AC70" s="28">
        <f>IF(AQ70="1",BI70,0)</f>
        <v>0</v>
      </c>
      <c r="AD70" s="28">
        <f>IF(AQ70="7",BH70,0)</f>
        <v>0</v>
      </c>
      <c r="AE70" s="28">
        <f>IF(AQ70="7",BI70,0)</f>
        <v>0</v>
      </c>
      <c r="AF70" s="28">
        <f>IF(AQ70="2",BH70,0)</f>
        <v>0</v>
      </c>
      <c r="AG70" s="28">
        <f>IF(AQ70="2",BI70,0)</f>
        <v>0</v>
      </c>
      <c r="AH70" s="28">
        <f>IF(AQ70="0",BJ70,0)</f>
        <v>0</v>
      </c>
      <c r="AI70" s="10" t="s">
        <v>56</v>
      </c>
      <c r="AJ70" s="28">
        <f>IF(AN70=0,J70,0)</f>
        <v>0</v>
      </c>
      <c r="AK70" s="28">
        <f>IF(AN70=12,J70,0)</f>
        <v>0</v>
      </c>
      <c r="AL70" s="28">
        <f>IF(AN70=21,J70,0)</f>
        <v>0</v>
      </c>
      <c r="AN70" s="28">
        <v>21</v>
      </c>
      <c r="AO70" s="28">
        <f>G70*0</f>
        <v>0</v>
      </c>
      <c r="AP70" s="28">
        <f>G70*(1-0)</f>
        <v>0</v>
      </c>
      <c r="AQ70" s="30" t="s">
        <v>57</v>
      </c>
      <c r="AV70" s="28">
        <f>AW70+AX70</f>
        <v>0</v>
      </c>
      <c r="AW70" s="28">
        <f>F70*AO70</f>
        <v>0</v>
      </c>
      <c r="AX70" s="28">
        <f>F70*AP70</f>
        <v>0</v>
      </c>
      <c r="AY70" s="30" t="s">
        <v>182</v>
      </c>
      <c r="AZ70" s="30" t="s">
        <v>80</v>
      </c>
      <c r="BA70" s="10" t="s">
        <v>64</v>
      </c>
      <c r="BC70" s="28">
        <f>AW70+AX70</f>
        <v>0</v>
      </c>
      <c r="BD70" s="28">
        <f>G70/(100-BE70)*100</f>
        <v>0</v>
      </c>
      <c r="BE70" s="28">
        <v>0</v>
      </c>
      <c r="BF70" s="28">
        <f>70</f>
        <v>70</v>
      </c>
      <c r="BH70" s="28">
        <f>F70*AO70</f>
        <v>0</v>
      </c>
      <c r="BI70" s="28">
        <f>F70*AP70</f>
        <v>0</v>
      </c>
      <c r="BJ70" s="28">
        <f>F70*G70</f>
        <v>0</v>
      </c>
      <c r="BK70" s="28"/>
      <c r="BL70" s="28">
        <v>96</v>
      </c>
      <c r="BW70" s="28">
        <v>21</v>
      </c>
    </row>
    <row r="71" spans="1:75" ht="13.5" customHeight="1" x14ac:dyDescent="0.25">
      <c r="A71" s="2" t="s">
        <v>194</v>
      </c>
      <c r="B71" s="3" t="s">
        <v>195</v>
      </c>
      <c r="C71" s="83" t="s">
        <v>196</v>
      </c>
      <c r="D71" s="80"/>
      <c r="E71" s="3" t="s">
        <v>128</v>
      </c>
      <c r="F71" s="28">
        <v>1</v>
      </c>
      <c r="G71" s="28">
        <v>0</v>
      </c>
      <c r="H71" s="28">
        <f>F71*AO71</f>
        <v>0</v>
      </c>
      <c r="I71" s="28">
        <f>F71*AP71</f>
        <v>0</v>
      </c>
      <c r="J71" s="28">
        <f>F71*G71</f>
        <v>0</v>
      </c>
      <c r="K71" s="29" t="s">
        <v>52</v>
      </c>
      <c r="Z71" s="28">
        <f>IF(AQ71="5",BJ71,0)</f>
        <v>0</v>
      </c>
      <c r="AB71" s="28">
        <f>IF(AQ71="1",BH71,0)</f>
        <v>0</v>
      </c>
      <c r="AC71" s="28">
        <f>IF(AQ71="1",BI71,0)</f>
        <v>0</v>
      </c>
      <c r="AD71" s="28">
        <f>IF(AQ71="7",BH71,0)</f>
        <v>0</v>
      </c>
      <c r="AE71" s="28">
        <f>IF(AQ71="7",BI71,0)</f>
        <v>0</v>
      </c>
      <c r="AF71" s="28">
        <f>IF(AQ71="2",BH71,0)</f>
        <v>0</v>
      </c>
      <c r="AG71" s="28">
        <f>IF(AQ71="2",BI71,0)</f>
        <v>0</v>
      </c>
      <c r="AH71" s="28">
        <f>IF(AQ71="0",BJ71,0)</f>
        <v>0</v>
      </c>
      <c r="AI71" s="10" t="s">
        <v>56</v>
      </c>
      <c r="AJ71" s="28">
        <f>IF(AN71=0,J71,0)</f>
        <v>0</v>
      </c>
      <c r="AK71" s="28">
        <f>IF(AN71=12,J71,0)</f>
        <v>0</v>
      </c>
      <c r="AL71" s="28">
        <f>IF(AN71=21,J71,0)</f>
        <v>0</v>
      </c>
      <c r="AN71" s="28">
        <v>21</v>
      </c>
      <c r="AO71" s="28">
        <f>G71*0.166666667</f>
        <v>0</v>
      </c>
      <c r="AP71" s="28">
        <f>G71*(1-0.166666667)</f>
        <v>0</v>
      </c>
      <c r="AQ71" s="30" t="s">
        <v>57</v>
      </c>
      <c r="AV71" s="28">
        <f>AW71+AX71</f>
        <v>0</v>
      </c>
      <c r="AW71" s="28">
        <f>F71*AO71</f>
        <v>0</v>
      </c>
      <c r="AX71" s="28">
        <f>F71*AP71</f>
        <v>0</v>
      </c>
      <c r="AY71" s="30" t="s">
        <v>182</v>
      </c>
      <c r="AZ71" s="30" t="s">
        <v>80</v>
      </c>
      <c r="BA71" s="10" t="s">
        <v>64</v>
      </c>
      <c r="BC71" s="28">
        <f>AW71+AX71</f>
        <v>0</v>
      </c>
      <c r="BD71" s="28">
        <f>G71/(100-BE71)*100</f>
        <v>0</v>
      </c>
      <c r="BE71" s="28">
        <v>0</v>
      </c>
      <c r="BF71" s="28">
        <f>71</f>
        <v>71</v>
      </c>
      <c r="BH71" s="28">
        <f>F71*AO71</f>
        <v>0</v>
      </c>
      <c r="BI71" s="28">
        <f>F71*AP71</f>
        <v>0</v>
      </c>
      <c r="BJ71" s="28">
        <f>F71*G71</f>
        <v>0</v>
      </c>
      <c r="BK71" s="28"/>
      <c r="BL71" s="28">
        <v>96</v>
      </c>
      <c r="BW71" s="28">
        <v>21</v>
      </c>
    </row>
    <row r="72" spans="1:75" ht="13.5" customHeight="1" x14ac:dyDescent="0.25">
      <c r="A72" s="2" t="s">
        <v>197</v>
      </c>
      <c r="B72" s="3" t="s">
        <v>198</v>
      </c>
      <c r="C72" s="83" t="s">
        <v>199</v>
      </c>
      <c r="D72" s="80"/>
      <c r="E72" s="3" t="s">
        <v>60</v>
      </c>
      <c r="F72" s="28">
        <v>23.05</v>
      </c>
      <c r="G72" s="28">
        <v>0</v>
      </c>
      <c r="H72" s="28">
        <f>F72*AO72</f>
        <v>0</v>
      </c>
      <c r="I72" s="28">
        <f>F72*AP72</f>
        <v>0</v>
      </c>
      <c r="J72" s="28">
        <f>F72*G72</f>
        <v>0</v>
      </c>
      <c r="K72" s="29" t="s">
        <v>61</v>
      </c>
      <c r="Z72" s="28">
        <f>IF(AQ72="5",BJ72,0)</f>
        <v>0</v>
      </c>
      <c r="AB72" s="28">
        <f>IF(AQ72="1",BH72,0)</f>
        <v>0</v>
      </c>
      <c r="AC72" s="28">
        <f>IF(AQ72="1",BI72,0)</f>
        <v>0</v>
      </c>
      <c r="AD72" s="28">
        <f>IF(AQ72="7",BH72,0)</f>
        <v>0</v>
      </c>
      <c r="AE72" s="28">
        <f>IF(AQ72="7",BI72,0)</f>
        <v>0</v>
      </c>
      <c r="AF72" s="28">
        <f>IF(AQ72="2",BH72,0)</f>
        <v>0</v>
      </c>
      <c r="AG72" s="28">
        <f>IF(AQ72="2",BI72,0)</f>
        <v>0</v>
      </c>
      <c r="AH72" s="28">
        <f>IF(AQ72="0",BJ72,0)</f>
        <v>0</v>
      </c>
      <c r="AI72" s="10" t="s">
        <v>56</v>
      </c>
      <c r="AJ72" s="28">
        <f>IF(AN72=0,J72,0)</f>
        <v>0</v>
      </c>
      <c r="AK72" s="28">
        <f>IF(AN72=12,J72,0)</f>
        <v>0</v>
      </c>
      <c r="AL72" s="28">
        <f>IF(AN72=21,J72,0)</f>
        <v>0</v>
      </c>
      <c r="AN72" s="28">
        <v>21</v>
      </c>
      <c r="AO72" s="28">
        <f>G72*0</f>
        <v>0</v>
      </c>
      <c r="AP72" s="28">
        <f>G72*(1-0)</f>
        <v>0</v>
      </c>
      <c r="AQ72" s="30" t="s">
        <v>57</v>
      </c>
      <c r="AV72" s="28">
        <f>AW72+AX72</f>
        <v>0</v>
      </c>
      <c r="AW72" s="28">
        <f>F72*AO72</f>
        <v>0</v>
      </c>
      <c r="AX72" s="28">
        <f>F72*AP72</f>
        <v>0</v>
      </c>
      <c r="AY72" s="30" t="s">
        <v>182</v>
      </c>
      <c r="AZ72" s="30" t="s">
        <v>80</v>
      </c>
      <c r="BA72" s="10" t="s">
        <v>64</v>
      </c>
      <c r="BC72" s="28">
        <f>AW72+AX72</f>
        <v>0</v>
      </c>
      <c r="BD72" s="28">
        <f>G72/(100-BE72)*100</f>
        <v>0</v>
      </c>
      <c r="BE72" s="28">
        <v>0</v>
      </c>
      <c r="BF72" s="28">
        <f>72</f>
        <v>72</v>
      </c>
      <c r="BH72" s="28">
        <f>F72*AO72</f>
        <v>0</v>
      </c>
      <c r="BI72" s="28">
        <f>F72*AP72</f>
        <v>0</v>
      </c>
      <c r="BJ72" s="28">
        <f>F72*G72</f>
        <v>0</v>
      </c>
      <c r="BK72" s="28"/>
      <c r="BL72" s="28">
        <v>96</v>
      </c>
      <c r="BW72" s="28">
        <v>21</v>
      </c>
    </row>
    <row r="73" spans="1:75" x14ac:dyDescent="0.25">
      <c r="A73" s="31"/>
      <c r="C73" s="32" t="s">
        <v>200</v>
      </c>
      <c r="D73" s="32" t="s">
        <v>52</v>
      </c>
      <c r="F73" s="33">
        <v>7.97</v>
      </c>
      <c r="K73" s="34"/>
    </row>
    <row r="74" spans="1:75" x14ac:dyDescent="0.25">
      <c r="A74" s="31"/>
      <c r="C74" s="32" t="s">
        <v>201</v>
      </c>
      <c r="D74" s="32" t="s">
        <v>52</v>
      </c>
      <c r="F74" s="33">
        <v>15.08</v>
      </c>
      <c r="K74" s="34"/>
    </row>
    <row r="75" spans="1:75" ht="27" customHeight="1" x14ac:dyDescent="0.25">
      <c r="A75" s="2" t="s">
        <v>202</v>
      </c>
      <c r="B75" s="3" t="s">
        <v>203</v>
      </c>
      <c r="C75" s="83" t="s">
        <v>204</v>
      </c>
      <c r="D75" s="80"/>
      <c r="E75" s="3" t="s">
        <v>60</v>
      </c>
      <c r="F75" s="28">
        <v>30.44</v>
      </c>
      <c r="G75" s="28">
        <v>0</v>
      </c>
      <c r="H75" s="28">
        <f>F75*AO75</f>
        <v>0</v>
      </c>
      <c r="I75" s="28">
        <f>F75*AP75</f>
        <v>0</v>
      </c>
      <c r="J75" s="28">
        <f>F75*G75</f>
        <v>0</v>
      </c>
      <c r="K75" s="29" t="s">
        <v>61</v>
      </c>
      <c r="Z75" s="28">
        <f>IF(AQ75="5",BJ75,0)</f>
        <v>0</v>
      </c>
      <c r="AB75" s="28">
        <f>IF(AQ75="1",BH75,0)</f>
        <v>0</v>
      </c>
      <c r="AC75" s="28">
        <f>IF(AQ75="1",BI75,0)</f>
        <v>0</v>
      </c>
      <c r="AD75" s="28">
        <f>IF(AQ75="7",BH75,0)</f>
        <v>0</v>
      </c>
      <c r="AE75" s="28">
        <f>IF(AQ75="7",BI75,0)</f>
        <v>0</v>
      </c>
      <c r="AF75" s="28">
        <f>IF(AQ75="2",BH75,0)</f>
        <v>0</v>
      </c>
      <c r="AG75" s="28">
        <f>IF(AQ75="2",BI75,0)</f>
        <v>0</v>
      </c>
      <c r="AH75" s="28">
        <f>IF(AQ75="0",BJ75,0)</f>
        <v>0</v>
      </c>
      <c r="AI75" s="10" t="s">
        <v>56</v>
      </c>
      <c r="AJ75" s="28">
        <f>IF(AN75=0,J75,0)</f>
        <v>0</v>
      </c>
      <c r="AK75" s="28">
        <f>IF(AN75=12,J75,0)</f>
        <v>0</v>
      </c>
      <c r="AL75" s="28">
        <f>IF(AN75=21,J75,0)</f>
        <v>0</v>
      </c>
      <c r="AN75" s="28">
        <v>21</v>
      </c>
      <c r="AO75" s="28">
        <f>G75*0</f>
        <v>0</v>
      </c>
      <c r="AP75" s="28">
        <f>G75*(1-0)</f>
        <v>0</v>
      </c>
      <c r="AQ75" s="30" t="s">
        <v>57</v>
      </c>
      <c r="AV75" s="28">
        <f>AW75+AX75</f>
        <v>0</v>
      </c>
      <c r="AW75" s="28">
        <f>F75*AO75</f>
        <v>0</v>
      </c>
      <c r="AX75" s="28">
        <f>F75*AP75</f>
        <v>0</v>
      </c>
      <c r="AY75" s="30" t="s">
        <v>182</v>
      </c>
      <c r="AZ75" s="30" t="s">
        <v>80</v>
      </c>
      <c r="BA75" s="10" t="s">
        <v>64</v>
      </c>
      <c r="BC75" s="28">
        <f>AW75+AX75</f>
        <v>0</v>
      </c>
      <c r="BD75" s="28">
        <f>G75/(100-BE75)*100</f>
        <v>0</v>
      </c>
      <c r="BE75" s="28">
        <v>0</v>
      </c>
      <c r="BF75" s="28">
        <f>75</f>
        <v>75</v>
      </c>
      <c r="BH75" s="28">
        <f>F75*AO75</f>
        <v>0</v>
      </c>
      <c r="BI75" s="28">
        <f>F75*AP75</f>
        <v>0</v>
      </c>
      <c r="BJ75" s="28">
        <f>F75*G75</f>
        <v>0</v>
      </c>
      <c r="BK75" s="28"/>
      <c r="BL75" s="28">
        <v>96</v>
      </c>
      <c r="BW75" s="28">
        <v>21</v>
      </c>
    </row>
    <row r="76" spans="1:75" x14ac:dyDescent="0.25">
      <c r="A76" s="31"/>
      <c r="C76" s="32" t="s">
        <v>205</v>
      </c>
      <c r="D76" s="32" t="s">
        <v>52</v>
      </c>
      <c r="F76" s="33">
        <v>30.44</v>
      </c>
      <c r="K76" s="34"/>
    </row>
    <row r="77" spans="1:75" ht="13.5" customHeight="1" x14ac:dyDescent="0.25">
      <c r="A77" s="2" t="s">
        <v>206</v>
      </c>
      <c r="B77" s="3" t="s">
        <v>207</v>
      </c>
      <c r="C77" s="83" t="s">
        <v>208</v>
      </c>
      <c r="D77" s="80"/>
      <c r="E77" s="3" t="s">
        <v>60</v>
      </c>
      <c r="F77" s="28">
        <v>7.0119999999999996</v>
      </c>
      <c r="G77" s="28">
        <v>0</v>
      </c>
      <c r="H77" s="28">
        <f>F77*AO77</f>
        <v>0</v>
      </c>
      <c r="I77" s="28">
        <f>F77*AP77</f>
        <v>0</v>
      </c>
      <c r="J77" s="28">
        <f>F77*G77</f>
        <v>0</v>
      </c>
      <c r="K77" s="29" t="s">
        <v>61</v>
      </c>
      <c r="Z77" s="28">
        <f>IF(AQ77="5",BJ77,0)</f>
        <v>0</v>
      </c>
      <c r="AB77" s="28">
        <f>IF(AQ77="1",BH77,0)</f>
        <v>0</v>
      </c>
      <c r="AC77" s="28">
        <f>IF(AQ77="1",BI77,0)</f>
        <v>0</v>
      </c>
      <c r="AD77" s="28">
        <f>IF(AQ77="7",BH77,0)</f>
        <v>0</v>
      </c>
      <c r="AE77" s="28">
        <f>IF(AQ77="7",BI77,0)</f>
        <v>0</v>
      </c>
      <c r="AF77" s="28">
        <f>IF(AQ77="2",BH77,0)</f>
        <v>0</v>
      </c>
      <c r="AG77" s="28">
        <f>IF(AQ77="2",BI77,0)</f>
        <v>0</v>
      </c>
      <c r="AH77" s="28">
        <f>IF(AQ77="0",BJ77,0)</f>
        <v>0</v>
      </c>
      <c r="AI77" s="10" t="s">
        <v>56</v>
      </c>
      <c r="AJ77" s="28">
        <f>IF(AN77=0,J77,0)</f>
        <v>0</v>
      </c>
      <c r="AK77" s="28">
        <f>IF(AN77=12,J77,0)</f>
        <v>0</v>
      </c>
      <c r="AL77" s="28">
        <f>IF(AN77=21,J77,0)</f>
        <v>0</v>
      </c>
      <c r="AN77" s="28">
        <v>21</v>
      </c>
      <c r="AO77" s="28">
        <f>G77*0.04582783</f>
        <v>0</v>
      </c>
      <c r="AP77" s="28">
        <f>G77*(1-0.04582783)</f>
        <v>0</v>
      </c>
      <c r="AQ77" s="30" t="s">
        <v>57</v>
      </c>
      <c r="AV77" s="28">
        <f>AW77+AX77</f>
        <v>0</v>
      </c>
      <c r="AW77" s="28">
        <f>F77*AO77</f>
        <v>0</v>
      </c>
      <c r="AX77" s="28">
        <f>F77*AP77</f>
        <v>0</v>
      </c>
      <c r="AY77" s="30" t="s">
        <v>182</v>
      </c>
      <c r="AZ77" s="30" t="s">
        <v>80</v>
      </c>
      <c r="BA77" s="10" t="s">
        <v>64</v>
      </c>
      <c r="BC77" s="28">
        <f>AW77+AX77</f>
        <v>0</v>
      </c>
      <c r="BD77" s="28">
        <f>G77/(100-BE77)*100</f>
        <v>0</v>
      </c>
      <c r="BE77" s="28">
        <v>0</v>
      </c>
      <c r="BF77" s="28">
        <f>77</f>
        <v>77</v>
      </c>
      <c r="BH77" s="28">
        <f>F77*AO77</f>
        <v>0</v>
      </c>
      <c r="BI77" s="28">
        <f>F77*AP77</f>
        <v>0</v>
      </c>
      <c r="BJ77" s="28">
        <f>F77*G77</f>
        <v>0</v>
      </c>
      <c r="BK77" s="28"/>
      <c r="BL77" s="28">
        <v>96</v>
      </c>
      <c r="BW77" s="28">
        <v>21</v>
      </c>
    </row>
    <row r="78" spans="1:75" x14ac:dyDescent="0.25">
      <c r="A78" s="31"/>
      <c r="C78" s="32" t="s">
        <v>209</v>
      </c>
      <c r="D78" s="32" t="s">
        <v>210</v>
      </c>
      <c r="F78" s="33">
        <v>5.5</v>
      </c>
      <c r="K78" s="34"/>
    </row>
    <row r="79" spans="1:75" x14ac:dyDescent="0.25">
      <c r="A79" s="31"/>
      <c r="C79" s="32" t="s">
        <v>211</v>
      </c>
      <c r="D79" s="32" t="s">
        <v>212</v>
      </c>
      <c r="F79" s="33">
        <v>1.512</v>
      </c>
      <c r="K79" s="34"/>
    </row>
    <row r="80" spans="1:75" ht="13.5" customHeight="1" x14ac:dyDescent="0.25">
      <c r="A80" s="2" t="s">
        <v>213</v>
      </c>
      <c r="B80" s="3" t="s">
        <v>214</v>
      </c>
      <c r="C80" s="83" t="s">
        <v>215</v>
      </c>
      <c r="D80" s="80"/>
      <c r="E80" s="3" t="s">
        <v>148</v>
      </c>
      <c r="F80" s="28">
        <v>7.3</v>
      </c>
      <c r="G80" s="28">
        <v>0</v>
      </c>
      <c r="H80" s="28">
        <f>F80*AO80</f>
        <v>0</v>
      </c>
      <c r="I80" s="28">
        <f>F80*AP80</f>
        <v>0</v>
      </c>
      <c r="J80" s="28">
        <f>F80*G80</f>
        <v>0</v>
      </c>
      <c r="K80" s="29" t="s">
        <v>61</v>
      </c>
      <c r="Z80" s="28">
        <f>IF(AQ80="5",BJ80,0)</f>
        <v>0</v>
      </c>
      <c r="AB80" s="28">
        <f>IF(AQ80="1",BH80,0)</f>
        <v>0</v>
      </c>
      <c r="AC80" s="28">
        <f>IF(AQ80="1",BI80,0)</f>
        <v>0</v>
      </c>
      <c r="AD80" s="28">
        <f>IF(AQ80="7",BH80,0)</f>
        <v>0</v>
      </c>
      <c r="AE80" s="28">
        <f>IF(AQ80="7",BI80,0)</f>
        <v>0</v>
      </c>
      <c r="AF80" s="28">
        <f>IF(AQ80="2",BH80,0)</f>
        <v>0</v>
      </c>
      <c r="AG80" s="28">
        <f>IF(AQ80="2",BI80,0)</f>
        <v>0</v>
      </c>
      <c r="AH80" s="28">
        <f>IF(AQ80="0",BJ80,0)</f>
        <v>0</v>
      </c>
      <c r="AI80" s="10" t="s">
        <v>56</v>
      </c>
      <c r="AJ80" s="28">
        <f>IF(AN80=0,J80,0)</f>
        <v>0</v>
      </c>
      <c r="AK80" s="28">
        <f>IF(AN80=12,J80,0)</f>
        <v>0</v>
      </c>
      <c r="AL80" s="28">
        <f>IF(AN80=21,J80,0)</f>
        <v>0</v>
      </c>
      <c r="AN80" s="28">
        <v>21</v>
      </c>
      <c r="AO80" s="28">
        <f>G80*0</f>
        <v>0</v>
      </c>
      <c r="AP80" s="28">
        <f>G80*(1-0)</f>
        <v>0</v>
      </c>
      <c r="AQ80" s="30" t="s">
        <v>57</v>
      </c>
      <c r="AV80" s="28">
        <f>AW80+AX80</f>
        <v>0</v>
      </c>
      <c r="AW80" s="28">
        <f>F80*AO80</f>
        <v>0</v>
      </c>
      <c r="AX80" s="28">
        <f>F80*AP80</f>
        <v>0</v>
      </c>
      <c r="AY80" s="30" t="s">
        <v>182</v>
      </c>
      <c r="AZ80" s="30" t="s">
        <v>80</v>
      </c>
      <c r="BA80" s="10" t="s">
        <v>64</v>
      </c>
      <c r="BC80" s="28">
        <f>AW80+AX80</f>
        <v>0</v>
      </c>
      <c r="BD80" s="28">
        <f>G80/(100-BE80)*100</f>
        <v>0</v>
      </c>
      <c r="BE80" s="28">
        <v>0</v>
      </c>
      <c r="BF80" s="28">
        <f>80</f>
        <v>80</v>
      </c>
      <c r="BH80" s="28">
        <f>F80*AO80</f>
        <v>0</v>
      </c>
      <c r="BI80" s="28">
        <f>F80*AP80</f>
        <v>0</v>
      </c>
      <c r="BJ80" s="28">
        <f>F80*G80</f>
        <v>0</v>
      </c>
      <c r="BK80" s="28"/>
      <c r="BL80" s="28">
        <v>96</v>
      </c>
      <c r="BW80" s="28">
        <v>21</v>
      </c>
    </row>
    <row r="81" spans="1:75" x14ac:dyDescent="0.25">
      <c r="A81" s="31"/>
      <c r="C81" s="32" t="s">
        <v>216</v>
      </c>
      <c r="D81" s="32" t="s">
        <v>52</v>
      </c>
      <c r="F81" s="33">
        <v>7.3</v>
      </c>
      <c r="K81" s="34"/>
    </row>
    <row r="82" spans="1:75" ht="13.5" customHeight="1" x14ac:dyDescent="0.25">
      <c r="A82" s="2" t="s">
        <v>217</v>
      </c>
      <c r="B82" s="3" t="s">
        <v>218</v>
      </c>
      <c r="C82" s="83" t="s">
        <v>219</v>
      </c>
      <c r="D82" s="80"/>
      <c r="E82" s="3" t="s">
        <v>148</v>
      </c>
      <c r="F82" s="28">
        <v>2.88</v>
      </c>
      <c r="G82" s="28">
        <v>0</v>
      </c>
      <c r="H82" s="28">
        <f>F82*AO82</f>
        <v>0</v>
      </c>
      <c r="I82" s="28">
        <f>F82*AP82</f>
        <v>0</v>
      </c>
      <c r="J82" s="28">
        <f>F82*G82</f>
        <v>0</v>
      </c>
      <c r="K82" s="29" t="s">
        <v>61</v>
      </c>
      <c r="Z82" s="28">
        <f>IF(AQ82="5",BJ82,0)</f>
        <v>0</v>
      </c>
      <c r="AB82" s="28">
        <f>IF(AQ82="1",BH82,0)</f>
        <v>0</v>
      </c>
      <c r="AC82" s="28">
        <f>IF(AQ82="1",BI82,0)</f>
        <v>0</v>
      </c>
      <c r="AD82" s="28">
        <f>IF(AQ82="7",BH82,0)</f>
        <v>0</v>
      </c>
      <c r="AE82" s="28">
        <f>IF(AQ82="7",BI82,0)</f>
        <v>0</v>
      </c>
      <c r="AF82" s="28">
        <f>IF(AQ82="2",BH82,0)</f>
        <v>0</v>
      </c>
      <c r="AG82" s="28">
        <f>IF(AQ82="2",BI82,0)</f>
        <v>0</v>
      </c>
      <c r="AH82" s="28">
        <f>IF(AQ82="0",BJ82,0)</f>
        <v>0</v>
      </c>
      <c r="AI82" s="10" t="s">
        <v>56</v>
      </c>
      <c r="AJ82" s="28">
        <f>IF(AN82=0,J82,0)</f>
        <v>0</v>
      </c>
      <c r="AK82" s="28">
        <f>IF(AN82=12,J82,0)</f>
        <v>0</v>
      </c>
      <c r="AL82" s="28">
        <f>IF(AN82=21,J82,0)</f>
        <v>0</v>
      </c>
      <c r="AN82" s="28">
        <v>21</v>
      </c>
      <c r="AO82" s="28">
        <f>G82*0</f>
        <v>0</v>
      </c>
      <c r="AP82" s="28">
        <f>G82*(1-0)</f>
        <v>0</v>
      </c>
      <c r="AQ82" s="30" t="s">
        <v>57</v>
      </c>
      <c r="AV82" s="28">
        <f>AW82+AX82</f>
        <v>0</v>
      </c>
      <c r="AW82" s="28">
        <f>F82*AO82</f>
        <v>0</v>
      </c>
      <c r="AX82" s="28">
        <f>F82*AP82</f>
        <v>0</v>
      </c>
      <c r="AY82" s="30" t="s">
        <v>182</v>
      </c>
      <c r="AZ82" s="30" t="s">
        <v>80</v>
      </c>
      <c r="BA82" s="10" t="s">
        <v>64</v>
      </c>
      <c r="BC82" s="28">
        <f>AW82+AX82</f>
        <v>0</v>
      </c>
      <c r="BD82" s="28">
        <f>G82/(100-BE82)*100</f>
        <v>0</v>
      </c>
      <c r="BE82" s="28">
        <v>0</v>
      </c>
      <c r="BF82" s="28">
        <f>82</f>
        <v>82</v>
      </c>
      <c r="BH82" s="28">
        <f>F82*AO82</f>
        <v>0</v>
      </c>
      <c r="BI82" s="28">
        <f>F82*AP82</f>
        <v>0</v>
      </c>
      <c r="BJ82" s="28">
        <f>F82*G82</f>
        <v>0</v>
      </c>
      <c r="BK82" s="28"/>
      <c r="BL82" s="28">
        <v>96</v>
      </c>
      <c r="BW82" s="28">
        <v>21</v>
      </c>
    </row>
    <row r="83" spans="1:75" x14ac:dyDescent="0.25">
      <c r="A83" s="31"/>
      <c r="C83" s="32" t="s">
        <v>220</v>
      </c>
      <c r="D83" s="32" t="s">
        <v>52</v>
      </c>
      <c r="F83" s="33">
        <v>2.88</v>
      </c>
      <c r="K83" s="34"/>
    </row>
    <row r="84" spans="1:75" x14ac:dyDescent="0.25">
      <c r="A84" s="24" t="s">
        <v>52</v>
      </c>
      <c r="B84" s="25" t="s">
        <v>221</v>
      </c>
      <c r="C84" s="139" t="s">
        <v>222</v>
      </c>
      <c r="D84" s="140"/>
      <c r="E84" s="26" t="s">
        <v>4</v>
      </c>
      <c r="F84" s="26" t="s">
        <v>4</v>
      </c>
      <c r="G84" s="26" t="s">
        <v>4</v>
      </c>
      <c r="H84" s="1">
        <f>SUM(H85:H85)</f>
        <v>0</v>
      </c>
      <c r="I84" s="1">
        <f>SUM(I85:I85)</f>
        <v>0</v>
      </c>
      <c r="J84" s="1">
        <f>SUM(J85:J85)</f>
        <v>0</v>
      </c>
      <c r="K84" s="27" t="s">
        <v>52</v>
      </c>
      <c r="AI84" s="10" t="s">
        <v>56</v>
      </c>
      <c r="AS84" s="1">
        <f>SUM(AJ85:AJ85)</f>
        <v>0</v>
      </c>
      <c r="AT84" s="1">
        <f>SUM(AK85:AK85)</f>
        <v>0</v>
      </c>
      <c r="AU84" s="1">
        <f>SUM(AL85:AL85)</f>
        <v>0</v>
      </c>
    </row>
    <row r="85" spans="1:75" ht="13.5" customHeight="1" x14ac:dyDescent="0.25">
      <c r="A85" s="2" t="s">
        <v>223</v>
      </c>
      <c r="B85" s="3" t="s">
        <v>224</v>
      </c>
      <c r="C85" s="83" t="s">
        <v>225</v>
      </c>
      <c r="D85" s="80"/>
      <c r="E85" s="3" t="s">
        <v>71</v>
      </c>
      <c r="F85" s="28">
        <v>163.38655</v>
      </c>
      <c r="G85" s="28">
        <v>0</v>
      </c>
      <c r="H85" s="28">
        <f>F85*AO85</f>
        <v>0</v>
      </c>
      <c r="I85" s="28">
        <f>F85*AP85</f>
        <v>0</v>
      </c>
      <c r="J85" s="28">
        <f>F85*G85</f>
        <v>0</v>
      </c>
      <c r="K85" s="29" t="s">
        <v>61</v>
      </c>
      <c r="Z85" s="28">
        <f>IF(AQ85="5",BJ85,0)</f>
        <v>0</v>
      </c>
      <c r="AB85" s="28">
        <f>IF(AQ85="1",BH85,0)</f>
        <v>0</v>
      </c>
      <c r="AC85" s="28">
        <f>IF(AQ85="1",BI85,0)</f>
        <v>0</v>
      </c>
      <c r="AD85" s="28">
        <f>IF(AQ85="7",BH85,0)</f>
        <v>0</v>
      </c>
      <c r="AE85" s="28">
        <f>IF(AQ85="7",BI85,0)</f>
        <v>0</v>
      </c>
      <c r="AF85" s="28">
        <f>IF(AQ85="2",BH85,0)</f>
        <v>0</v>
      </c>
      <c r="AG85" s="28">
        <f>IF(AQ85="2",BI85,0)</f>
        <v>0</v>
      </c>
      <c r="AH85" s="28">
        <f>IF(AQ85="0",BJ85,0)</f>
        <v>0</v>
      </c>
      <c r="AI85" s="10" t="s">
        <v>56</v>
      </c>
      <c r="AJ85" s="28">
        <f>IF(AN85=0,J85,0)</f>
        <v>0</v>
      </c>
      <c r="AK85" s="28">
        <f>IF(AN85=12,J85,0)</f>
        <v>0</v>
      </c>
      <c r="AL85" s="28">
        <f>IF(AN85=21,J85,0)</f>
        <v>0</v>
      </c>
      <c r="AN85" s="28">
        <v>21</v>
      </c>
      <c r="AO85" s="28">
        <f>G85*0</f>
        <v>0</v>
      </c>
      <c r="AP85" s="28">
        <f>G85*(1-0)</f>
        <v>0</v>
      </c>
      <c r="AQ85" s="30" t="s">
        <v>87</v>
      </c>
      <c r="AV85" s="28">
        <f>AW85+AX85</f>
        <v>0</v>
      </c>
      <c r="AW85" s="28">
        <f>F85*AO85</f>
        <v>0</v>
      </c>
      <c r="AX85" s="28">
        <f>F85*AP85</f>
        <v>0</v>
      </c>
      <c r="AY85" s="30" t="s">
        <v>226</v>
      </c>
      <c r="AZ85" s="30" t="s">
        <v>80</v>
      </c>
      <c r="BA85" s="10" t="s">
        <v>64</v>
      </c>
      <c r="BC85" s="28">
        <f>AW85+AX85</f>
        <v>0</v>
      </c>
      <c r="BD85" s="28">
        <f>G85/(100-BE85)*100</f>
        <v>0</v>
      </c>
      <c r="BE85" s="28">
        <v>0</v>
      </c>
      <c r="BF85" s="28">
        <f>85</f>
        <v>85</v>
      </c>
      <c r="BH85" s="28">
        <f>F85*AO85</f>
        <v>0</v>
      </c>
      <c r="BI85" s="28">
        <f>F85*AP85</f>
        <v>0</v>
      </c>
      <c r="BJ85" s="28">
        <f>F85*G85</f>
        <v>0</v>
      </c>
      <c r="BK85" s="28"/>
      <c r="BL85" s="28"/>
      <c r="BW85" s="28">
        <v>21</v>
      </c>
    </row>
    <row r="86" spans="1:75" x14ac:dyDescent="0.25">
      <c r="A86" s="24" t="s">
        <v>52</v>
      </c>
      <c r="B86" s="25" t="s">
        <v>227</v>
      </c>
      <c r="C86" s="139" t="s">
        <v>228</v>
      </c>
      <c r="D86" s="140"/>
      <c r="E86" s="26" t="s">
        <v>4</v>
      </c>
      <c r="F86" s="26" t="s">
        <v>4</v>
      </c>
      <c r="G86" s="26" t="s">
        <v>4</v>
      </c>
      <c r="H86" s="1">
        <f>SUM(H87:H87)</f>
        <v>0</v>
      </c>
      <c r="I86" s="1">
        <f>SUM(I87:I87)</f>
        <v>0</v>
      </c>
      <c r="J86" s="1">
        <f>SUM(J87:J87)</f>
        <v>0</v>
      </c>
      <c r="K86" s="27" t="s">
        <v>52</v>
      </c>
      <c r="AI86" s="10" t="s">
        <v>56</v>
      </c>
      <c r="AS86" s="1">
        <f>SUM(AJ87:AJ87)</f>
        <v>0</v>
      </c>
      <c r="AT86" s="1">
        <f>SUM(AK87:AK87)</f>
        <v>0</v>
      </c>
      <c r="AU86" s="1">
        <f>SUM(AL87:AL87)</f>
        <v>0</v>
      </c>
    </row>
    <row r="87" spans="1:75" ht="13.5" customHeight="1" x14ac:dyDescent="0.25">
      <c r="A87" s="2" t="s">
        <v>229</v>
      </c>
      <c r="B87" s="3" t="s">
        <v>230</v>
      </c>
      <c r="C87" s="83" t="s">
        <v>231</v>
      </c>
      <c r="D87" s="80"/>
      <c r="E87" s="3" t="s">
        <v>78</v>
      </c>
      <c r="F87" s="28">
        <v>18.5</v>
      </c>
      <c r="G87" s="28">
        <v>0</v>
      </c>
      <c r="H87" s="28">
        <f>F87*AO87</f>
        <v>0</v>
      </c>
      <c r="I87" s="28">
        <f>F87*AP87</f>
        <v>0</v>
      </c>
      <c r="J87" s="28">
        <f>F87*G87</f>
        <v>0</v>
      </c>
      <c r="K87" s="29" t="s">
        <v>61</v>
      </c>
      <c r="Z87" s="28">
        <f>IF(AQ87="5",BJ87,0)</f>
        <v>0</v>
      </c>
      <c r="AB87" s="28">
        <f>IF(AQ87="1",BH87,0)</f>
        <v>0</v>
      </c>
      <c r="AC87" s="28">
        <f>IF(AQ87="1",BI87,0)</f>
        <v>0</v>
      </c>
      <c r="AD87" s="28">
        <f>IF(AQ87="7",BH87,0)</f>
        <v>0</v>
      </c>
      <c r="AE87" s="28">
        <f>IF(AQ87="7",BI87,0)</f>
        <v>0</v>
      </c>
      <c r="AF87" s="28">
        <f>IF(AQ87="2",BH87,0)</f>
        <v>0</v>
      </c>
      <c r="AG87" s="28">
        <f>IF(AQ87="2",BI87,0)</f>
        <v>0</v>
      </c>
      <c r="AH87" s="28">
        <f>IF(AQ87="0",BJ87,0)</f>
        <v>0</v>
      </c>
      <c r="AI87" s="10" t="s">
        <v>56</v>
      </c>
      <c r="AJ87" s="28">
        <f>IF(AN87=0,J87,0)</f>
        <v>0</v>
      </c>
      <c r="AK87" s="28">
        <f>IF(AN87=12,J87,0)</f>
        <v>0</v>
      </c>
      <c r="AL87" s="28">
        <f>IF(AN87=21,J87,0)</f>
        <v>0</v>
      </c>
      <c r="AN87" s="28">
        <v>21</v>
      </c>
      <c r="AO87" s="28">
        <f>G87*0</f>
        <v>0</v>
      </c>
      <c r="AP87" s="28">
        <f>G87*(1-0)</f>
        <v>0</v>
      </c>
      <c r="AQ87" s="30" t="s">
        <v>68</v>
      </c>
      <c r="AV87" s="28">
        <f>AW87+AX87</f>
        <v>0</v>
      </c>
      <c r="AW87" s="28">
        <f>F87*AO87</f>
        <v>0</v>
      </c>
      <c r="AX87" s="28">
        <f>F87*AP87</f>
        <v>0</v>
      </c>
      <c r="AY87" s="30" t="s">
        <v>232</v>
      </c>
      <c r="AZ87" s="30" t="s">
        <v>80</v>
      </c>
      <c r="BA87" s="10" t="s">
        <v>64</v>
      </c>
      <c r="BC87" s="28">
        <f>AW87+AX87</f>
        <v>0</v>
      </c>
      <c r="BD87" s="28">
        <f>G87/(100-BE87)*100</f>
        <v>0</v>
      </c>
      <c r="BE87" s="28">
        <v>0</v>
      </c>
      <c r="BF87" s="28">
        <f>87</f>
        <v>87</v>
      </c>
      <c r="BH87" s="28">
        <f>F87*AO87</f>
        <v>0</v>
      </c>
      <c r="BI87" s="28">
        <f>F87*AP87</f>
        <v>0</v>
      </c>
      <c r="BJ87" s="28">
        <f>F87*G87</f>
        <v>0</v>
      </c>
      <c r="BK87" s="28"/>
      <c r="BL87" s="28"/>
      <c r="BW87" s="28">
        <v>21</v>
      </c>
    </row>
    <row r="88" spans="1:75" x14ac:dyDescent="0.25">
      <c r="A88" s="31"/>
      <c r="C88" s="32" t="s">
        <v>233</v>
      </c>
      <c r="D88" s="32" t="s">
        <v>52</v>
      </c>
      <c r="F88" s="33">
        <v>18.5</v>
      </c>
      <c r="K88" s="34"/>
    </row>
    <row r="89" spans="1:75" x14ac:dyDescent="0.25">
      <c r="A89" s="24" t="s">
        <v>52</v>
      </c>
      <c r="B89" s="25" t="s">
        <v>52</v>
      </c>
      <c r="C89" s="139" t="s">
        <v>234</v>
      </c>
      <c r="D89" s="140"/>
      <c r="E89" s="26" t="s">
        <v>4</v>
      </c>
      <c r="F89" s="26" t="s">
        <v>4</v>
      </c>
      <c r="G89" s="26" t="s">
        <v>4</v>
      </c>
      <c r="H89" s="1">
        <f>H90+H116+H119+H137+H144+H147+H151+H157+H230+H272+H292+H344+H359+H366+H392+H402+H408+H411+H437+H465+H470+H507+H517+H666+H682+H685+H730+H786+H798+H801+H811+H819</f>
        <v>0</v>
      </c>
      <c r="I89" s="1">
        <f>I90+I116+I119+I137+I144+I147+I151+I157+I230+I272+I292+I344+I359+I366+I392+I402+I408+I411+I437+I465+I470+I507+I517+I666+I682+I685+I730+I786+I798+I801+I811+I819</f>
        <v>0</v>
      </c>
      <c r="J89" s="1">
        <f>J90+J116+J119+J137+J144+J147+J151+J157+J230+J272+J292+J344+J359+J366+J392+J402+J408+J411+J437+J465+J470+J507+J517+J666+J682+J685+J730+J786+J798+J801+J811+J819</f>
        <v>0</v>
      </c>
      <c r="K89" s="27" t="s">
        <v>52</v>
      </c>
    </row>
    <row r="90" spans="1:75" x14ac:dyDescent="0.25">
      <c r="A90" s="24" t="s">
        <v>52</v>
      </c>
      <c r="B90" s="25" t="s">
        <v>129</v>
      </c>
      <c r="C90" s="139" t="s">
        <v>235</v>
      </c>
      <c r="D90" s="140"/>
      <c r="E90" s="26" t="s">
        <v>4</v>
      </c>
      <c r="F90" s="26" t="s">
        <v>4</v>
      </c>
      <c r="G90" s="26" t="s">
        <v>4</v>
      </c>
      <c r="H90" s="1">
        <f>SUM(H91:H114)</f>
        <v>0</v>
      </c>
      <c r="I90" s="1">
        <f>SUM(I91:I114)</f>
        <v>0</v>
      </c>
      <c r="J90" s="1">
        <f>SUM(J91:J114)</f>
        <v>0</v>
      </c>
      <c r="K90" s="27" t="s">
        <v>52</v>
      </c>
      <c r="AI90" s="10" t="s">
        <v>236</v>
      </c>
      <c r="AS90" s="1">
        <f>SUM(AJ91:AJ114)</f>
        <v>0</v>
      </c>
      <c r="AT90" s="1">
        <f>SUM(AK91:AK114)</f>
        <v>0</v>
      </c>
      <c r="AU90" s="1">
        <f>SUM(AL91:AL114)</f>
        <v>0</v>
      </c>
    </row>
    <row r="91" spans="1:75" ht="13.5" customHeight="1" x14ac:dyDescent="0.25">
      <c r="A91" s="2" t="s">
        <v>237</v>
      </c>
      <c r="B91" s="3" t="s">
        <v>238</v>
      </c>
      <c r="C91" s="83" t="s">
        <v>239</v>
      </c>
      <c r="D91" s="80"/>
      <c r="E91" s="3" t="s">
        <v>60</v>
      </c>
      <c r="F91" s="28">
        <v>258.08749999999998</v>
      </c>
      <c r="G91" s="28">
        <v>0</v>
      </c>
      <c r="H91" s="28">
        <f>F91*AO91</f>
        <v>0</v>
      </c>
      <c r="I91" s="28">
        <f>F91*AP91</f>
        <v>0</v>
      </c>
      <c r="J91" s="28">
        <f>F91*G91</f>
        <v>0</v>
      </c>
      <c r="K91" s="29" t="s">
        <v>61</v>
      </c>
      <c r="Z91" s="28">
        <f>IF(AQ91="5",BJ91,0)</f>
        <v>0</v>
      </c>
      <c r="AB91" s="28">
        <f>IF(AQ91="1",BH91,0)</f>
        <v>0</v>
      </c>
      <c r="AC91" s="28">
        <f>IF(AQ91="1",BI91,0)</f>
        <v>0</v>
      </c>
      <c r="AD91" s="28">
        <f>IF(AQ91="7",BH91,0)</f>
        <v>0</v>
      </c>
      <c r="AE91" s="28">
        <f>IF(AQ91="7",BI91,0)</f>
        <v>0</v>
      </c>
      <c r="AF91" s="28">
        <f>IF(AQ91="2",BH91,0)</f>
        <v>0</v>
      </c>
      <c r="AG91" s="28">
        <f>IF(AQ91="2",BI91,0)</f>
        <v>0</v>
      </c>
      <c r="AH91" s="28">
        <f>IF(AQ91="0",BJ91,0)</f>
        <v>0</v>
      </c>
      <c r="AI91" s="10" t="s">
        <v>236</v>
      </c>
      <c r="AJ91" s="28">
        <f>IF(AN91=0,J91,0)</f>
        <v>0</v>
      </c>
      <c r="AK91" s="28">
        <f>IF(AN91=12,J91,0)</f>
        <v>0</v>
      </c>
      <c r="AL91" s="28">
        <f>IF(AN91=21,J91,0)</f>
        <v>0</v>
      </c>
      <c r="AN91" s="28">
        <v>21</v>
      </c>
      <c r="AO91" s="28">
        <f>G91*0</f>
        <v>0</v>
      </c>
      <c r="AP91" s="28">
        <f>G91*(1-0)</f>
        <v>0</v>
      </c>
      <c r="AQ91" s="30" t="s">
        <v>57</v>
      </c>
      <c r="AV91" s="28">
        <f>AW91+AX91</f>
        <v>0</v>
      </c>
      <c r="AW91" s="28">
        <f>F91*AO91</f>
        <v>0</v>
      </c>
      <c r="AX91" s="28">
        <f>F91*AP91</f>
        <v>0</v>
      </c>
      <c r="AY91" s="30" t="s">
        <v>240</v>
      </c>
      <c r="AZ91" s="30" t="s">
        <v>241</v>
      </c>
      <c r="BA91" s="10" t="s">
        <v>242</v>
      </c>
      <c r="BC91" s="28">
        <f>AW91+AX91</f>
        <v>0</v>
      </c>
      <c r="BD91" s="28">
        <f>G91/(100-BE91)*100</f>
        <v>0</v>
      </c>
      <c r="BE91" s="28">
        <v>0</v>
      </c>
      <c r="BF91" s="28">
        <f>91</f>
        <v>91</v>
      </c>
      <c r="BH91" s="28">
        <f>F91*AO91</f>
        <v>0</v>
      </c>
      <c r="BI91" s="28">
        <f>F91*AP91</f>
        <v>0</v>
      </c>
      <c r="BJ91" s="28">
        <f>F91*G91</f>
        <v>0</v>
      </c>
      <c r="BK91" s="28"/>
      <c r="BL91" s="28">
        <v>13</v>
      </c>
      <c r="BW91" s="28">
        <v>21</v>
      </c>
    </row>
    <row r="92" spans="1:75" x14ac:dyDescent="0.25">
      <c r="A92" s="31"/>
      <c r="C92" s="32" t="s">
        <v>243</v>
      </c>
      <c r="D92" s="32" t="s">
        <v>52</v>
      </c>
      <c r="F92" s="33">
        <v>256.3</v>
      </c>
      <c r="K92" s="34"/>
    </row>
    <row r="93" spans="1:75" x14ac:dyDescent="0.25">
      <c r="A93" s="31"/>
      <c r="C93" s="32" t="s">
        <v>244</v>
      </c>
      <c r="D93" s="32" t="s">
        <v>52</v>
      </c>
      <c r="F93" s="33">
        <v>1.7875000000000001</v>
      </c>
      <c r="K93" s="34"/>
    </row>
    <row r="94" spans="1:75" ht="13.5" customHeight="1" x14ac:dyDescent="0.25">
      <c r="A94" s="2" t="s">
        <v>245</v>
      </c>
      <c r="B94" s="3" t="s">
        <v>246</v>
      </c>
      <c r="C94" s="83" t="s">
        <v>247</v>
      </c>
      <c r="D94" s="80"/>
      <c r="E94" s="3" t="s">
        <v>60</v>
      </c>
      <c r="F94" s="28">
        <v>57.48</v>
      </c>
      <c r="G94" s="28">
        <v>0</v>
      </c>
      <c r="H94" s="28">
        <f>F94*AO94</f>
        <v>0</v>
      </c>
      <c r="I94" s="28">
        <f>F94*AP94</f>
        <v>0</v>
      </c>
      <c r="J94" s="28">
        <f>F94*G94</f>
        <v>0</v>
      </c>
      <c r="K94" s="29" t="s">
        <v>61</v>
      </c>
      <c r="Z94" s="28">
        <f>IF(AQ94="5",BJ94,0)</f>
        <v>0</v>
      </c>
      <c r="AB94" s="28">
        <f>IF(AQ94="1",BH94,0)</f>
        <v>0</v>
      </c>
      <c r="AC94" s="28">
        <f>IF(AQ94="1",BI94,0)</f>
        <v>0</v>
      </c>
      <c r="AD94" s="28">
        <f>IF(AQ94="7",BH94,0)</f>
        <v>0</v>
      </c>
      <c r="AE94" s="28">
        <f>IF(AQ94="7",BI94,0)</f>
        <v>0</v>
      </c>
      <c r="AF94" s="28">
        <f>IF(AQ94="2",BH94,0)</f>
        <v>0</v>
      </c>
      <c r="AG94" s="28">
        <f>IF(AQ94="2",BI94,0)</f>
        <v>0</v>
      </c>
      <c r="AH94" s="28">
        <f>IF(AQ94="0",BJ94,0)</f>
        <v>0</v>
      </c>
      <c r="AI94" s="10" t="s">
        <v>236</v>
      </c>
      <c r="AJ94" s="28">
        <f>IF(AN94=0,J94,0)</f>
        <v>0</v>
      </c>
      <c r="AK94" s="28">
        <f>IF(AN94=12,J94,0)</f>
        <v>0</v>
      </c>
      <c r="AL94" s="28">
        <f>IF(AN94=21,J94,0)</f>
        <v>0</v>
      </c>
      <c r="AN94" s="28">
        <v>21</v>
      </c>
      <c r="AO94" s="28">
        <f>G94*0</f>
        <v>0</v>
      </c>
      <c r="AP94" s="28">
        <f>G94*(1-0)</f>
        <v>0</v>
      </c>
      <c r="AQ94" s="30" t="s">
        <v>57</v>
      </c>
      <c r="AV94" s="28">
        <f>AW94+AX94</f>
        <v>0</v>
      </c>
      <c r="AW94" s="28">
        <f>F94*AO94</f>
        <v>0</v>
      </c>
      <c r="AX94" s="28">
        <f>F94*AP94</f>
        <v>0</v>
      </c>
      <c r="AY94" s="30" t="s">
        <v>240</v>
      </c>
      <c r="AZ94" s="30" t="s">
        <v>241</v>
      </c>
      <c r="BA94" s="10" t="s">
        <v>242</v>
      </c>
      <c r="BC94" s="28">
        <f>AW94+AX94</f>
        <v>0</v>
      </c>
      <c r="BD94" s="28">
        <f>G94/(100-BE94)*100</f>
        <v>0</v>
      </c>
      <c r="BE94" s="28">
        <v>0</v>
      </c>
      <c r="BF94" s="28">
        <f>94</f>
        <v>94</v>
      </c>
      <c r="BH94" s="28">
        <f>F94*AO94</f>
        <v>0</v>
      </c>
      <c r="BI94" s="28">
        <f>F94*AP94</f>
        <v>0</v>
      </c>
      <c r="BJ94" s="28">
        <f>F94*G94</f>
        <v>0</v>
      </c>
      <c r="BK94" s="28"/>
      <c r="BL94" s="28">
        <v>13</v>
      </c>
      <c r="BW94" s="28">
        <v>21</v>
      </c>
    </row>
    <row r="95" spans="1:75" x14ac:dyDescent="0.25">
      <c r="A95" s="31"/>
      <c r="C95" s="32" t="s">
        <v>248</v>
      </c>
      <c r="D95" s="32" t="s">
        <v>249</v>
      </c>
      <c r="F95" s="33">
        <v>6.2720000000000002</v>
      </c>
      <c r="K95" s="34"/>
    </row>
    <row r="96" spans="1:75" x14ac:dyDescent="0.25">
      <c r="A96" s="31"/>
      <c r="C96" s="32" t="s">
        <v>250</v>
      </c>
      <c r="D96" s="32" t="s">
        <v>52</v>
      </c>
      <c r="F96" s="33">
        <v>2.1120000000000001</v>
      </c>
      <c r="K96" s="34"/>
    </row>
    <row r="97" spans="1:75" x14ac:dyDescent="0.25">
      <c r="A97" s="31"/>
      <c r="C97" s="32" t="s">
        <v>251</v>
      </c>
      <c r="D97" s="32" t="s">
        <v>52</v>
      </c>
      <c r="F97" s="33">
        <v>13.44</v>
      </c>
      <c r="K97" s="34"/>
    </row>
    <row r="98" spans="1:75" x14ac:dyDescent="0.25">
      <c r="A98" s="31"/>
      <c r="C98" s="32" t="s">
        <v>252</v>
      </c>
      <c r="D98" s="32" t="s">
        <v>253</v>
      </c>
      <c r="F98" s="33">
        <v>2.8</v>
      </c>
      <c r="K98" s="34"/>
    </row>
    <row r="99" spans="1:75" x14ac:dyDescent="0.25">
      <c r="A99" s="31"/>
      <c r="C99" s="32" t="s">
        <v>254</v>
      </c>
      <c r="D99" s="32" t="s">
        <v>52</v>
      </c>
      <c r="F99" s="33">
        <v>2.88</v>
      </c>
      <c r="K99" s="34"/>
    </row>
    <row r="100" spans="1:75" x14ac:dyDescent="0.25">
      <c r="A100" s="31"/>
      <c r="C100" s="32" t="s">
        <v>255</v>
      </c>
      <c r="D100" s="32" t="s">
        <v>52</v>
      </c>
      <c r="F100" s="33">
        <v>0.40799999999999997</v>
      </c>
      <c r="K100" s="34"/>
    </row>
    <row r="101" spans="1:75" x14ac:dyDescent="0.25">
      <c r="A101" s="31"/>
      <c r="C101" s="32" t="s">
        <v>256</v>
      </c>
      <c r="D101" s="32" t="s">
        <v>52</v>
      </c>
      <c r="F101" s="33">
        <v>1.5840000000000001</v>
      </c>
      <c r="K101" s="34"/>
    </row>
    <row r="102" spans="1:75" x14ac:dyDescent="0.25">
      <c r="A102" s="31"/>
      <c r="C102" s="32" t="s">
        <v>257</v>
      </c>
      <c r="D102" s="32" t="s">
        <v>52</v>
      </c>
      <c r="F102" s="33">
        <v>0.91200000000000003</v>
      </c>
      <c r="K102" s="34"/>
    </row>
    <row r="103" spans="1:75" x14ac:dyDescent="0.25">
      <c r="A103" s="31"/>
      <c r="C103" s="32" t="s">
        <v>258</v>
      </c>
      <c r="D103" s="32" t="s">
        <v>52</v>
      </c>
      <c r="F103" s="33">
        <v>3.36</v>
      </c>
      <c r="K103" s="34"/>
    </row>
    <row r="104" spans="1:75" x14ac:dyDescent="0.25">
      <c r="A104" s="31"/>
      <c r="C104" s="32" t="s">
        <v>259</v>
      </c>
      <c r="D104" s="32" t="s">
        <v>52</v>
      </c>
      <c r="F104" s="33">
        <v>1.1519999999999999</v>
      </c>
      <c r="K104" s="34"/>
    </row>
    <row r="105" spans="1:75" x14ac:dyDescent="0.25">
      <c r="A105" s="31"/>
      <c r="C105" s="32" t="s">
        <v>260</v>
      </c>
      <c r="D105" s="32" t="s">
        <v>52</v>
      </c>
      <c r="F105" s="33">
        <v>3.456</v>
      </c>
      <c r="K105" s="34"/>
    </row>
    <row r="106" spans="1:75" x14ac:dyDescent="0.25">
      <c r="A106" s="31"/>
      <c r="C106" s="32" t="s">
        <v>261</v>
      </c>
      <c r="D106" s="32" t="s">
        <v>52</v>
      </c>
      <c r="F106" s="33">
        <v>0.67200000000000004</v>
      </c>
      <c r="K106" s="34"/>
    </row>
    <row r="107" spans="1:75" x14ac:dyDescent="0.25">
      <c r="A107" s="31"/>
      <c r="C107" s="32" t="s">
        <v>262</v>
      </c>
      <c r="D107" s="32" t="s">
        <v>263</v>
      </c>
      <c r="F107" s="33">
        <v>18.431999999999999</v>
      </c>
      <c r="K107" s="34"/>
    </row>
    <row r="108" spans="1:75" ht="27" customHeight="1" x14ac:dyDescent="0.25">
      <c r="A108" s="2" t="s">
        <v>264</v>
      </c>
      <c r="B108" s="3" t="s">
        <v>265</v>
      </c>
      <c r="C108" s="83" t="s">
        <v>266</v>
      </c>
      <c r="D108" s="80"/>
      <c r="E108" s="3" t="s">
        <v>60</v>
      </c>
      <c r="F108" s="28">
        <v>19.559999999999999</v>
      </c>
      <c r="G108" s="28">
        <v>0</v>
      </c>
      <c r="H108" s="28">
        <f>F108*AO108</f>
        <v>0</v>
      </c>
      <c r="I108" s="28">
        <f>F108*AP108</f>
        <v>0</v>
      </c>
      <c r="J108" s="28">
        <f>F108*G108</f>
        <v>0</v>
      </c>
      <c r="K108" s="29" t="s">
        <v>61</v>
      </c>
      <c r="Z108" s="28">
        <f>IF(AQ108="5",BJ108,0)</f>
        <v>0</v>
      </c>
      <c r="AB108" s="28">
        <f>IF(AQ108="1",BH108,0)</f>
        <v>0</v>
      </c>
      <c r="AC108" s="28">
        <f>IF(AQ108="1",BI108,0)</f>
        <v>0</v>
      </c>
      <c r="AD108" s="28">
        <f>IF(AQ108="7",BH108,0)</f>
        <v>0</v>
      </c>
      <c r="AE108" s="28">
        <f>IF(AQ108="7",BI108,0)</f>
        <v>0</v>
      </c>
      <c r="AF108" s="28">
        <f>IF(AQ108="2",BH108,0)</f>
        <v>0</v>
      </c>
      <c r="AG108" s="28">
        <f>IF(AQ108="2",BI108,0)</f>
        <v>0</v>
      </c>
      <c r="AH108" s="28">
        <f>IF(AQ108="0",BJ108,0)</f>
        <v>0</v>
      </c>
      <c r="AI108" s="10" t="s">
        <v>236</v>
      </c>
      <c r="AJ108" s="28">
        <f>IF(AN108=0,J108,0)</f>
        <v>0</v>
      </c>
      <c r="AK108" s="28">
        <f>IF(AN108=12,J108,0)</f>
        <v>0</v>
      </c>
      <c r="AL108" s="28">
        <f>IF(AN108=21,J108,0)</f>
        <v>0</v>
      </c>
      <c r="AN108" s="28">
        <v>21</v>
      </c>
      <c r="AO108" s="28">
        <f>G108*0</f>
        <v>0</v>
      </c>
      <c r="AP108" s="28">
        <f>G108*(1-0)</f>
        <v>0</v>
      </c>
      <c r="AQ108" s="30" t="s">
        <v>57</v>
      </c>
      <c r="AV108" s="28">
        <f>AW108+AX108</f>
        <v>0</v>
      </c>
      <c r="AW108" s="28">
        <f>F108*AO108</f>
        <v>0</v>
      </c>
      <c r="AX108" s="28">
        <f>F108*AP108</f>
        <v>0</v>
      </c>
      <c r="AY108" s="30" t="s">
        <v>240</v>
      </c>
      <c r="AZ108" s="30" t="s">
        <v>241</v>
      </c>
      <c r="BA108" s="10" t="s">
        <v>242</v>
      </c>
      <c r="BC108" s="28">
        <f>AW108+AX108</f>
        <v>0</v>
      </c>
      <c r="BD108" s="28">
        <f>G108/(100-BE108)*100</f>
        <v>0</v>
      </c>
      <c r="BE108" s="28">
        <v>0</v>
      </c>
      <c r="BF108" s="28">
        <f>108</f>
        <v>108</v>
      </c>
      <c r="BH108" s="28">
        <f>F108*AO108</f>
        <v>0</v>
      </c>
      <c r="BI108" s="28">
        <f>F108*AP108</f>
        <v>0</v>
      </c>
      <c r="BJ108" s="28">
        <f>F108*G108</f>
        <v>0</v>
      </c>
      <c r="BK108" s="28"/>
      <c r="BL108" s="28">
        <v>13</v>
      </c>
      <c r="BW108" s="28">
        <v>21</v>
      </c>
    </row>
    <row r="109" spans="1:75" x14ac:dyDescent="0.25">
      <c r="A109" s="31"/>
      <c r="C109" s="32" t="s">
        <v>267</v>
      </c>
      <c r="D109" s="32" t="s">
        <v>268</v>
      </c>
      <c r="F109" s="33">
        <v>9.84</v>
      </c>
      <c r="K109" s="34"/>
    </row>
    <row r="110" spans="1:75" x14ac:dyDescent="0.25">
      <c r="A110" s="31"/>
      <c r="C110" s="32" t="s">
        <v>269</v>
      </c>
      <c r="D110" s="32" t="s">
        <v>270</v>
      </c>
      <c r="F110" s="33">
        <v>9.7200000000000006</v>
      </c>
      <c r="K110" s="34"/>
    </row>
    <row r="111" spans="1:75" ht="27" customHeight="1" x14ac:dyDescent="0.25">
      <c r="A111" s="2" t="s">
        <v>271</v>
      </c>
      <c r="B111" s="3" t="s">
        <v>272</v>
      </c>
      <c r="C111" s="83" t="s">
        <v>273</v>
      </c>
      <c r="D111" s="80"/>
      <c r="E111" s="3" t="s">
        <v>60</v>
      </c>
      <c r="F111" s="28">
        <v>8.1999999999999993</v>
      </c>
      <c r="G111" s="28">
        <v>0</v>
      </c>
      <c r="H111" s="28">
        <f>F111*AO111</f>
        <v>0</v>
      </c>
      <c r="I111" s="28">
        <f>F111*AP111</f>
        <v>0</v>
      </c>
      <c r="J111" s="28">
        <f>F111*G111</f>
        <v>0</v>
      </c>
      <c r="K111" s="29" t="s">
        <v>61</v>
      </c>
      <c r="Z111" s="28">
        <f>IF(AQ111="5",BJ111,0)</f>
        <v>0</v>
      </c>
      <c r="AB111" s="28">
        <f>IF(AQ111="1",BH111,0)</f>
        <v>0</v>
      </c>
      <c r="AC111" s="28">
        <f>IF(AQ111="1",BI111,0)</f>
        <v>0</v>
      </c>
      <c r="AD111" s="28">
        <f>IF(AQ111="7",BH111,0)</f>
        <v>0</v>
      </c>
      <c r="AE111" s="28">
        <f>IF(AQ111="7",BI111,0)</f>
        <v>0</v>
      </c>
      <c r="AF111" s="28">
        <f>IF(AQ111="2",BH111,0)</f>
        <v>0</v>
      </c>
      <c r="AG111" s="28">
        <f>IF(AQ111="2",BI111,0)</f>
        <v>0</v>
      </c>
      <c r="AH111" s="28">
        <f>IF(AQ111="0",BJ111,0)</f>
        <v>0</v>
      </c>
      <c r="AI111" s="10" t="s">
        <v>236</v>
      </c>
      <c r="AJ111" s="28">
        <f>IF(AN111=0,J111,0)</f>
        <v>0</v>
      </c>
      <c r="AK111" s="28">
        <f>IF(AN111=12,J111,0)</f>
        <v>0</v>
      </c>
      <c r="AL111" s="28">
        <f>IF(AN111=21,J111,0)</f>
        <v>0</v>
      </c>
      <c r="AN111" s="28">
        <v>21</v>
      </c>
      <c r="AO111" s="28">
        <f>G111*0</f>
        <v>0</v>
      </c>
      <c r="AP111" s="28">
        <f>G111*(1-0)</f>
        <v>0</v>
      </c>
      <c r="AQ111" s="30" t="s">
        <v>57</v>
      </c>
      <c r="AV111" s="28">
        <f>AW111+AX111</f>
        <v>0</v>
      </c>
      <c r="AW111" s="28">
        <f>F111*AO111</f>
        <v>0</v>
      </c>
      <c r="AX111" s="28">
        <f>F111*AP111</f>
        <v>0</v>
      </c>
      <c r="AY111" s="30" t="s">
        <v>240</v>
      </c>
      <c r="AZ111" s="30" t="s">
        <v>241</v>
      </c>
      <c r="BA111" s="10" t="s">
        <v>242</v>
      </c>
      <c r="BC111" s="28">
        <f>AW111+AX111</f>
        <v>0</v>
      </c>
      <c r="BD111" s="28">
        <f>G111/(100-BE111)*100</f>
        <v>0</v>
      </c>
      <c r="BE111" s="28">
        <v>0</v>
      </c>
      <c r="BF111" s="28">
        <f>111</f>
        <v>111</v>
      </c>
      <c r="BH111" s="28">
        <f>F111*AO111</f>
        <v>0</v>
      </c>
      <c r="BI111" s="28">
        <f>F111*AP111</f>
        <v>0</v>
      </c>
      <c r="BJ111" s="28">
        <f>F111*G111</f>
        <v>0</v>
      </c>
      <c r="BK111" s="28"/>
      <c r="BL111" s="28">
        <v>13</v>
      </c>
      <c r="BW111" s="28">
        <v>21</v>
      </c>
    </row>
    <row r="112" spans="1:75" x14ac:dyDescent="0.25">
      <c r="A112" s="31"/>
      <c r="C112" s="32" t="s">
        <v>274</v>
      </c>
      <c r="D112" s="32" t="s">
        <v>52</v>
      </c>
      <c r="F112" s="33">
        <v>8.1999999999999993</v>
      </c>
      <c r="K112" s="34"/>
    </row>
    <row r="113" spans="1:75" ht="27" customHeight="1" x14ac:dyDescent="0.25">
      <c r="A113" s="2" t="s">
        <v>275</v>
      </c>
      <c r="B113" s="3" t="s">
        <v>276</v>
      </c>
      <c r="C113" s="83" t="s">
        <v>277</v>
      </c>
      <c r="D113" s="80"/>
      <c r="E113" s="3" t="s">
        <v>60</v>
      </c>
      <c r="F113" s="28">
        <v>8.1999999999999993</v>
      </c>
      <c r="G113" s="28">
        <v>0</v>
      </c>
      <c r="H113" s="28">
        <f>F113*AO113</f>
        <v>0</v>
      </c>
      <c r="I113" s="28">
        <f>F113*AP113</f>
        <v>0</v>
      </c>
      <c r="J113" s="28">
        <f>F113*G113</f>
        <v>0</v>
      </c>
      <c r="K113" s="29" t="s">
        <v>61</v>
      </c>
      <c r="Z113" s="28">
        <f>IF(AQ113="5",BJ113,0)</f>
        <v>0</v>
      </c>
      <c r="AB113" s="28">
        <f>IF(AQ113="1",BH113,0)</f>
        <v>0</v>
      </c>
      <c r="AC113" s="28">
        <f>IF(AQ113="1",BI113,0)</f>
        <v>0</v>
      </c>
      <c r="AD113" s="28">
        <f>IF(AQ113="7",BH113,0)</f>
        <v>0</v>
      </c>
      <c r="AE113" s="28">
        <f>IF(AQ113="7",BI113,0)</f>
        <v>0</v>
      </c>
      <c r="AF113" s="28">
        <f>IF(AQ113="2",BH113,0)</f>
        <v>0</v>
      </c>
      <c r="AG113" s="28">
        <f>IF(AQ113="2",BI113,0)</f>
        <v>0</v>
      </c>
      <c r="AH113" s="28">
        <f>IF(AQ113="0",BJ113,0)</f>
        <v>0</v>
      </c>
      <c r="AI113" s="10" t="s">
        <v>236</v>
      </c>
      <c r="AJ113" s="28">
        <f>IF(AN113=0,J113,0)</f>
        <v>0</v>
      </c>
      <c r="AK113" s="28">
        <f>IF(AN113=12,J113,0)</f>
        <v>0</v>
      </c>
      <c r="AL113" s="28">
        <f>IF(AN113=21,J113,0)</f>
        <v>0</v>
      </c>
      <c r="AN113" s="28">
        <v>21</v>
      </c>
      <c r="AO113" s="28">
        <f>G113*0</f>
        <v>0</v>
      </c>
      <c r="AP113" s="28">
        <f>G113*(1-0)</f>
        <v>0</v>
      </c>
      <c r="AQ113" s="30" t="s">
        <v>57</v>
      </c>
      <c r="AV113" s="28">
        <f>AW113+AX113</f>
        <v>0</v>
      </c>
      <c r="AW113" s="28">
        <f>F113*AO113</f>
        <v>0</v>
      </c>
      <c r="AX113" s="28">
        <f>F113*AP113</f>
        <v>0</v>
      </c>
      <c r="AY113" s="30" t="s">
        <v>240</v>
      </c>
      <c r="AZ113" s="30" t="s">
        <v>241</v>
      </c>
      <c r="BA113" s="10" t="s">
        <v>242</v>
      </c>
      <c r="BC113" s="28">
        <f>AW113+AX113</f>
        <v>0</v>
      </c>
      <c r="BD113" s="28">
        <f>G113/(100-BE113)*100</f>
        <v>0</v>
      </c>
      <c r="BE113" s="28">
        <v>0</v>
      </c>
      <c r="BF113" s="28">
        <f>113</f>
        <v>113</v>
      </c>
      <c r="BH113" s="28">
        <f>F113*AO113</f>
        <v>0</v>
      </c>
      <c r="BI113" s="28">
        <f>F113*AP113</f>
        <v>0</v>
      </c>
      <c r="BJ113" s="28">
        <f>F113*G113</f>
        <v>0</v>
      </c>
      <c r="BK113" s="28"/>
      <c r="BL113" s="28">
        <v>13</v>
      </c>
      <c r="BW113" s="28">
        <v>21</v>
      </c>
    </row>
    <row r="114" spans="1:75" ht="13.5" customHeight="1" x14ac:dyDescent="0.25">
      <c r="A114" s="2" t="s">
        <v>278</v>
      </c>
      <c r="B114" s="3" t="s">
        <v>279</v>
      </c>
      <c r="C114" s="83" t="s">
        <v>280</v>
      </c>
      <c r="D114" s="80"/>
      <c r="E114" s="3" t="s">
        <v>60</v>
      </c>
      <c r="F114" s="28">
        <v>343.32749999999999</v>
      </c>
      <c r="G114" s="28">
        <v>0</v>
      </c>
      <c r="H114" s="28">
        <f>F114*AO114</f>
        <v>0</v>
      </c>
      <c r="I114" s="28">
        <f>F114*AP114</f>
        <v>0</v>
      </c>
      <c r="J114" s="28">
        <f>F114*G114</f>
        <v>0</v>
      </c>
      <c r="K114" s="29" t="s">
        <v>61</v>
      </c>
      <c r="Z114" s="28">
        <f>IF(AQ114="5",BJ114,0)</f>
        <v>0</v>
      </c>
      <c r="AB114" s="28">
        <f>IF(AQ114="1",BH114,0)</f>
        <v>0</v>
      </c>
      <c r="AC114" s="28">
        <f>IF(AQ114="1",BI114,0)</f>
        <v>0</v>
      </c>
      <c r="AD114" s="28">
        <f>IF(AQ114="7",BH114,0)</f>
        <v>0</v>
      </c>
      <c r="AE114" s="28">
        <f>IF(AQ114="7",BI114,0)</f>
        <v>0</v>
      </c>
      <c r="AF114" s="28">
        <f>IF(AQ114="2",BH114,0)</f>
        <v>0</v>
      </c>
      <c r="AG114" s="28">
        <f>IF(AQ114="2",BI114,0)</f>
        <v>0</v>
      </c>
      <c r="AH114" s="28">
        <f>IF(AQ114="0",BJ114,0)</f>
        <v>0</v>
      </c>
      <c r="AI114" s="10" t="s">
        <v>236</v>
      </c>
      <c r="AJ114" s="28">
        <f>IF(AN114=0,J114,0)</f>
        <v>0</v>
      </c>
      <c r="AK114" s="28">
        <f>IF(AN114=12,J114,0)</f>
        <v>0</v>
      </c>
      <c r="AL114" s="28">
        <f>IF(AN114=21,J114,0)</f>
        <v>0</v>
      </c>
      <c r="AN114" s="28">
        <v>21</v>
      </c>
      <c r="AO114" s="28">
        <f>G114*0</f>
        <v>0</v>
      </c>
      <c r="AP114" s="28">
        <f>G114*(1-0)</f>
        <v>0</v>
      </c>
      <c r="AQ114" s="30" t="s">
        <v>57</v>
      </c>
      <c r="AV114" s="28">
        <f>AW114+AX114</f>
        <v>0</v>
      </c>
      <c r="AW114" s="28">
        <f>F114*AO114</f>
        <v>0</v>
      </c>
      <c r="AX114" s="28">
        <f>F114*AP114</f>
        <v>0</v>
      </c>
      <c r="AY114" s="30" t="s">
        <v>240</v>
      </c>
      <c r="AZ114" s="30" t="s">
        <v>241</v>
      </c>
      <c r="BA114" s="10" t="s">
        <v>242</v>
      </c>
      <c r="BC114" s="28">
        <f>AW114+AX114</f>
        <v>0</v>
      </c>
      <c r="BD114" s="28">
        <f>G114/(100-BE114)*100</f>
        <v>0</v>
      </c>
      <c r="BE114" s="28">
        <v>0</v>
      </c>
      <c r="BF114" s="28">
        <f>114</f>
        <v>114</v>
      </c>
      <c r="BH114" s="28">
        <f>F114*AO114</f>
        <v>0</v>
      </c>
      <c r="BI114" s="28">
        <f>F114*AP114</f>
        <v>0</v>
      </c>
      <c r="BJ114" s="28">
        <f>F114*G114</f>
        <v>0</v>
      </c>
      <c r="BK114" s="28"/>
      <c r="BL114" s="28">
        <v>13</v>
      </c>
      <c r="BW114" s="28">
        <v>21</v>
      </c>
    </row>
    <row r="115" spans="1:75" x14ac:dyDescent="0.25">
      <c r="A115" s="31"/>
      <c r="C115" s="32" t="s">
        <v>281</v>
      </c>
      <c r="D115" s="32" t="s">
        <v>52</v>
      </c>
      <c r="F115" s="33">
        <v>343.32749999999999</v>
      </c>
      <c r="K115" s="34"/>
    </row>
    <row r="116" spans="1:75" x14ac:dyDescent="0.25">
      <c r="A116" s="24" t="s">
        <v>52</v>
      </c>
      <c r="B116" s="25" t="s">
        <v>145</v>
      </c>
      <c r="C116" s="139" t="s">
        <v>282</v>
      </c>
      <c r="D116" s="140"/>
      <c r="E116" s="26" t="s">
        <v>4</v>
      </c>
      <c r="F116" s="26" t="s">
        <v>4</v>
      </c>
      <c r="G116" s="26" t="s">
        <v>4</v>
      </c>
      <c r="H116" s="1">
        <f>SUM(H117:H117)</f>
        <v>0</v>
      </c>
      <c r="I116" s="1">
        <f>SUM(I117:I117)</f>
        <v>0</v>
      </c>
      <c r="J116" s="1">
        <f>SUM(J117:J117)</f>
        <v>0</v>
      </c>
      <c r="K116" s="27" t="s">
        <v>52</v>
      </c>
      <c r="AI116" s="10" t="s">
        <v>236</v>
      </c>
      <c r="AS116" s="1">
        <f>SUM(AJ117:AJ117)</f>
        <v>0</v>
      </c>
      <c r="AT116" s="1">
        <f>SUM(AK117:AK117)</f>
        <v>0</v>
      </c>
      <c r="AU116" s="1">
        <f>SUM(AL117:AL117)</f>
        <v>0</v>
      </c>
    </row>
    <row r="117" spans="1:75" ht="13.5" customHeight="1" x14ac:dyDescent="0.25">
      <c r="A117" s="2" t="s">
        <v>283</v>
      </c>
      <c r="B117" s="3" t="s">
        <v>284</v>
      </c>
      <c r="C117" s="83" t="s">
        <v>285</v>
      </c>
      <c r="D117" s="80"/>
      <c r="E117" s="3" t="s">
        <v>60</v>
      </c>
      <c r="F117" s="28">
        <v>343.32749999999999</v>
      </c>
      <c r="G117" s="28">
        <v>0</v>
      </c>
      <c r="H117" s="28">
        <f>F117*AO117</f>
        <v>0</v>
      </c>
      <c r="I117" s="28">
        <f>F117*AP117</f>
        <v>0</v>
      </c>
      <c r="J117" s="28">
        <f>F117*G117</f>
        <v>0</v>
      </c>
      <c r="K117" s="29" t="s">
        <v>61</v>
      </c>
      <c r="Z117" s="28">
        <f>IF(AQ117="5",BJ117,0)</f>
        <v>0</v>
      </c>
      <c r="AB117" s="28">
        <f>IF(AQ117="1",BH117,0)</f>
        <v>0</v>
      </c>
      <c r="AC117" s="28">
        <f>IF(AQ117="1",BI117,0)</f>
        <v>0</v>
      </c>
      <c r="AD117" s="28">
        <f>IF(AQ117="7",BH117,0)</f>
        <v>0</v>
      </c>
      <c r="AE117" s="28">
        <f>IF(AQ117="7",BI117,0)</f>
        <v>0</v>
      </c>
      <c r="AF117" s="28">
        <f>IF(AQ117="2",BH117,0)</f>
        <v>0</v>
      </c>
      <c r="AG117" s="28">
        <f>IF(AQ117="2",BI117,0)</f>
        <v>0</v>
      </c>
      <c r="AH117" s="28">
        <f>IF(AQ117="0",BJ117,0)</f>
        <v>0</v>
      </c>
      <c r="AI117" s="10" t="s">
        <v>236</v>
      </c>
      <c r="AJ117" s="28">
        <f>IF(AN117=0,J117,0)</f>
        <v>0</v>
      </c>
      <c r="AK117" s="28">
        <f>IF(AN117=12,J117,0)</f>
        <v>0</v>
      </c>
      <c r="AL117" s="28">
        <f>IF(AN117=21,J117,0)</f>
        <v>0</v>
      </c>
      <c r="AN117" s="28">
        <v>21</v>
      </c>
      <c r="AO117" s="28">
        <f>G117*0</f>
        <v>0</v>
      </c>
      <c r="AP117" s="28">
        <f>G117*(1-0)</f>
        <v>0</v>
      </c>
      <c r="AQ117" s="30" t="s">
        <v>57</v>
      </c>
      <c r="AV117" s="28">
        <f>AW117+AX117</f>
        <v>0</v>
      </c>
      <c r="AW117" s="28">
        <f>F117*AO117</f>
        <v>0</v>
      </c>
      <c r="AX117" s="28">
        <f>F117*AP117</f>
        <v>0</v>
      </c>
      <c r="AY117" s="30" t="s">
        <v>286</v>
      </c>
      <c r="AZ117" s="30" t="s">
        <v>241</v>
      </c>
      <c r="BA117" s="10" t="s">
        <v>242</v>
      </c>
      <c r="BC117" s="28">
        <f>AW117+AX117</f>
        <v>0</v>
      </c>
      <c r="BD117" s="28">
        <f>G117/(100-BE117)*100</f>
        <v>0</v>
      </c>
      <c r="BE117" s="28">
        <v>0</v>
      </c>
      <c r="BF117" s="28">
        <f>117</f>
        <v>117</v>
      </c>
      <c r="BH117" s="28">
        <f>F117*AO117</f>
        <v>0</v>
      </c>
      <c r="BI117" s="28">
        <f>F117*AP117</f>
        <v>0</v>
      </c>
      <c r="BJ117" s="28">
        <f>F117*G117</f>
        <v>0</v>
      </c>
      <c r="BK117" s="28"/>
      <c r="BL117" s="28">
        <v>16</v>
      </c>
      <c r="BW117" s="28">
        <v>21</v>
      </c>
    </row>
    <row r="118" spans="1:75" x14ac:dyDescent="0.25">
      <c r="A118" s="31"/>
      <c r="C118" s="32" t="s">
        <v>281</v>
      </c>
      <c r="D118" s="32" t="s">
        <v>52</v>
      </c>
      <c r="F118" s="33">
        <v>343.32749999999999</v>
      </c>
      <c r="K118" s="34"/>
    </row>
    <row r="119" spans="1:75" x14ac:dyDescent="0.25">
      <c r="A119" s="24" t="s">
        <v>52</v>
      </c>
      <c r="B119" s="25" t="s">
        <v>54</v>
      </c>
      <c r="C119" s="139" t="s">
        <v>55</v>
      </c>
      <c r="D119" s="140"/>
      <c r="E119" s="26" t="s">
        <v>4</v>
      </c>
      <c r="F119" s="26" t="s">
        <v>4</v>
      </c>
      <c r="G119" s="26" t="s">
        <v>4</v>
      </c>
      <c r="H119" s="1">
        <f>SUM(H120:H134)</f>
        <v>0</v>
      </c>
      <c r="I119" s="1">
        <f>SUM(I120:I134)</f>
        <v>0</v>
      </c>
      <c r="J119" s="1">
        <f>SUM(J120:J134)</f>
        <v>0</v>
      </c>
      <c r="K119" s="27" t="s">
        <v>52</v>
      </c>
      <c r="AI119" s="10" t="s">
        <v>236</v>
      </c>
      <c r="AS119" s="1">
        <f>SUM(AJ120:AJ134)</f>
        <v>0</v>
      </c>
      <c r="AT119" s="1">
        <f>SUM(AK120:AK134)</f>
        <v>0</v>
      </c>
      <c r="AU119" s="1">
        <f>SUM(AL120:AL134)</f>
        <v>0</v>
      </c>
    </row>
    <row r="120" spans="1:75" ht="13.5" customHeight="1" x14ac:dyDescent="0.25">
      <c r="A120" s="2" t="s">
        <v>287</v>
      </c>
      <c r="B120" s="3" t="s">
        <v>58</v>
      </c>
      <c r="C120" s="83" t="s">
        <v>288</v>
      </c>
      <c r="D120" s="80"/>
      <c r="E120" s="3" t="s">
        <v>60</v>
      </c>
      <c r="F120" s="28">
        <v>13.22</v>
      </c>
      <c r="G120" s="28">
        <v>0</v>
      </c>
      <c r="H120" s="28">
        <f>F120*AO120</f>
        <v>0</v>
      </c>
      <c r="I120" s="28">
        <f>F120*AP120</f>
        <v>0</v>
      </c>
      <c r="J120" s="28">
        <f>F120*G120</f>
        <v>0</v>
      </c>
      <c r="K120" s="29" t="s">
        <v>61</v>
      </c>
      <c r="Z120" s="28">
        <f>IF(AQ120="5",BJ120,0)</f>
        <v>0</v>
      </c>
      <c r="AB120" s="28">
        <f>IF(AQ120="1",BH120,0)</f>
        <v>0</v>
      </c>
      <c r="AC120" s="28">
        <f>IF(AQ120="1",BI120,0)</f>
        <v>0</v>
      </c>
      <c r="AD120" s="28">
        <f>IF(AQ120="7",BH120,0)</f>
        <v>0</v>
      </c>
      <c r="AE120" s="28">
        <f>IF(AQ120="7",BI120,0)</f>
        <v>0</v>
      </c>
      <c r="AF120" s="28">
        <f>IF(AQ120="2",BH120,0)</f>
        <v>0</v>
      </c>
      <c r="AG120" s="28">
        <f>IF(AQ120="2",BI120,0)</f>
        <v>0</v>
      </c>
      <c r="AH120" s="28">
        <f>IF(AQ120="0",BJ120,0)</f>
        <v>0</v>
      </c>
      <c r="AI120" s="10" t="s">
        <v>236</v>
      </c>
      <c r="AJ120" s="28">
        <f>IF(AN120=0,J120,0)</f>
        <v>0</v>
      </c>
      <c r="AK120" s="28">
        <f>IF(AN120=12,J120,0)</f>
        <v>0</v>
      </c>
      <c r="AL120" s="28">
        <f>IF(AN120=21,J120,0)</f>
        <v>0</v>
      </c>
      <c r="AN120" s="28">
        <v>21</v>
      </c>
      <c r="AO120" s="28">
        <f>G120*0</f>
        <v>0</v>
      </c>
      <c r="AP120" s="28">
        <f>G120*(1-0)</f>
        <v>0</v>
      </c>
      <c r="AQ120" s="30" t="s">
        <v>57</v>
      </c>
      <c r="AV120" s="28">
        <f>AW120+AX120</f>
        <v>0</v>
      </c>
      <c r="AW120" s="28">
        <f>F120*AO120</f>
        <v>0</v>
      </c>
      <c r="AX120" s="28">
        <f>F120*AP120</f>
        <v>0</v>
      </c>
      <c r="AY120" s="30" t="s">
        <v>62</v>
      </c>
      <c r="AZ120" s="30" t="s">
        <v>241</v>
      </c>
      <c r="BA120" s="10" t="s">
        <v>242</v>
      </c>
      <c r="BC120" s="28">
        <f>AW120+AX120</f>
        <v>0</v>
      </c>
      <c r="BD120" s="28">
        <f>G120/(100-BE120)*100</f>
        <v>0</v>
      </c>
      <c r="BE120" s="28">
        <v>0</v>
      </c>
      <c r="BF120" s="28">
        <f>120</f>
        <v>120</v>
      </c>
      <c r="BH120" s="28">
        <f>F120*AO120</f>
        <v>0</v>
      </c>
      <c r="BI120" s="28">
        <f>F120*AP120</f>
        <v>0</v>
      </c>
      <c r="BJ120" s="28">
        <f>F120*G120</f>
        <v>0</v>
      </c>
      <c r="BK120" s="28"/>
      <c r="BL120" s="28">
        <v>17</v>
      </c>
      <c r="BW120" s="28">
        <v>21</v>
      </c>
    </row>
    <row r="121" spans="1:75" x14ac:dyDescent="0.25">
      <c r="A121" s="31"/>
      <c r="C121" s="32" t="s">
        <v>289</v>
      </c>
      <c r="D121" s="32" t="s">
        <v>253</v>
      </c>
      <c r="F121" s="33">
        <v>1.4</v>
      </c>
      <c r="K121" s="34"/>
    </row>
    <row r="122" spans="1:75" x14ac:dyDescent="0.25">
      <c r="A122" s="31"/>
      <c r="C122" s="32" t="s">
        <v>290</v>
      </c>
      <c r="D122" s="32" t="s">
        <v>52</v>
      </c>
      <c r="F122" s="33">
        <v>1.44</v>
      </c>
      <c r="K122" s="34"/>
    </row>
    <row r="123" spans="1:75" x14ac:dyDescent="0.25">
      <c r="A123" s="31"/>
      <c r="C123" s="32" t="s">
        <v>291</v>
      </c>
      <c r="D123" s="32" t="s">
        <v>52</v>
      </c>
      <c r="F123" s="33">
        <v>0.20399999999999999</v>
      </c>
      <c r="K123" s="34"/>
    </row>
    <row r="124" spans="1:75" x14ac:dyDescent="0.25">
      <c r="A124" s="31"/>
      <c r="C124" s="32" t="s">
        <v>292</v>
      </c>
      <c r="D124" s="32" t="s">
        <v>52</v>
      </c>
      <c r="F124" s="33">
        <v>0.79200000000000004</v>
      </c>
      <c r="K124" s="34"/>
    </row>
    <row r="125" spans="1:75" x14ac:dyDescent="0.25">
      <c r="A125" s="31"/>
      <c r="C125" s="32" t="s">
        <v>293</v>
      </c>
      <c r="D125" s="32" t="s">
        <v>52</v>
      </c>
      <c r="F125" s="33">
        <v>0.45600000000000002</v>
      </c>
      <c r="K125" s="34"/>
    </row>
    <row r="126" spans="1:75" x14ac:dyDescent="0.25">
      <c r="A126" s="31"/>
      <c r="C126" s="32" t="s">
        <v>294</v>
      </c>
      <c r="D126" s="32" t="s">
        <v>52</v>
      </c>
      <c r="F126" s="33">
        <v>1.68</v>
      </c>
      <c r="K126" s="34"/>
    </row>
    <row r="127" spans="1:75" x14ac:dyDescent="0.25">
      <c r="A127" s="31"/>
      <c r="C127" s="32" t="s">
        <v>295</v>
      </c>
      <c r="D127" s="32" t="s">
        <v>52</v>
      </c>
      <c r="F127" s="33">
        <v>0.57599999999999996</v>
      </c>
      <c r="K127" s="34"/>
    </row>
    <row r="128" spans="1:75" x14ac:dyDescent="0.25">
      <c r="A128" s="31"/>
      <c r="C128" s="32" t="s">
        <v>296</v>
      </c>
      <c r="D128" s="32" t="s">
        <v>52</v>
      </c>
      <c r="F128" s="33">
        <v>1.728</v>
      </c>
      <c r="K128" s="34"/>
    </row>
    <row r="129" spans="1:75" x14ac:dyDescent="0.25">
      <c r="A129" s="31"/>
      <c r="C129" s="32" t="s">
        <v>297</v>
      </c>
      <c r="D129" s="32" t="s">
        <v>52</v>
      </c>
      <c r="F129" s="33">
        <v>0.33600000000000002</v>
      </c>
      <c r="K129" s="34"/>
    </row>
    <row r="130" spans="1:75" x14ac:dyDescent="0.25">
      <c r="A130" s="31"/>
      <c r="C130" s="32" t="s">
        <v>298</v>
      </c>
      <c r="D130" s="32" t="s">
        <v>52</v>
      </c>
      <c r="F130" s="33">
        <v>4.6079999999999997</v>
      </c>
      <c r="K130" s="34"/>
    </row>
    <row r="131" spans="1:75" ht="13.5" customHeight="1" x14ac:dyDescent="0.25">
      <c r="A131" s="2" t="s">
        <v>299</v>
      </c>
      <c r="B131" s="3" t="s">
        <v>58</v>
      </c>
      <c r="C131" s="83" t="s">
        <v>300</v>
      </c>
      <c r="D131" s="80"/>
      <c r="E131" s="3" t="s">
        <v>60</v>
      </c>
      <c r="F131" s="28">
        <v>78.599999999999994</v>
      </c>
      <c r="G131" s="28">
        <v>0</v>
      </c>
      <c r="H131" s="28">
        <f>F131*AO131</f>
        <v>0</v>
      </c>
      <c r="I131" s="28">
        <f>F131*AP131</f>
        <v>0</v>
      </c>
      <c r="J131" s="28">
        <f>F131*G131</f>
        <v>0</v>
      </c>
      <c r="K131" s="29" t="s">
        <v>61</v>
      </c>
      <c r="Z131" s="28">
        <f>IF(AQ131="5",BJ131,0)</f>
        <v>0</v>
      </c>
      <c r="AB131" s="28">
        <f>IF(AQ131="1",BH131,0)</f>
        <v>0</v>
      </c>
      <c r="AC131" s="28">
        <f>IF(AQ131="1",BI131,0)</f>
        <v>0</v>
      </c>
      <c r="AD131" s="28">
        <f>IF(AQ131="7",BH131,0)</f>
        <v>0</v>
      </c>
      <c r="AE131" s="28">
        <f>IF(AQ131="7",BI131,0)</f>
        <v>0</v>
      </c>
      <c r="AF131" s="28">
        <f>IF(AQ131="2",BH131,0)</f>
        <v>0</v>
      </c>
      <c r="AG131" s="28">
        <f>IF(AQ131="2",BI131,0)</f>
        <v>0</v>
      </c>
      <c r="AH131" s="28">
        <f>IF(AQ131="0",BJ131,0)</f>
        <v>0</v>
      </c>
      <c r="AI131" s="10" t="s">
        <v>236</v>
      </c>
      <c r="AJ131" s="28">
        <f>IF(AN131=0,J131,0)</f>
        <v>0</v>
      </c>
      <c r="AK131" s="28">
        <f>IF(AN131=12,J131,0)</f>
        <v>0</v>
      </c>
      <c r="AL131" s="28">
        <f>IF(AN131=21,J131,0)</f>
        <v>0</v>
      </c>
      <c r="AN131" s="28">
        <v>21</v>
      </c>
      <c r="AO131" s="28">
        <f>G131*0</f>
        <v>0</v>
      </c>
      <c r="AP131" s="28">
        <f>G131*(1-0)</f>
        <v>0</v>
      </c>
      <c r="AQ131" s="30" t="s">
        <v>57</v>
      </c>
      <c r="AV131" s="28">
        <f>AW131+AX131</f>
        <v>0</v>
      </c>
      <c r="AW131" s="28">
        <f>F131*AO131</f>
        <v>0</v>
      </c>
      <c r="AX131" s="28">
        <f>F131*AP131</f>
        <v>0</v>
      </c>
      <c r="AY131" s="30" t="s">
        <v>62</v>
      </c>
      <c r="AZ131" s="30" t="s">
        <v>241</v>
      </c>
      <c r="BA131" s="10" t="s">
        <v>242</v>
      </c>
      <c r="BC131" s="28">
        <f>AW131+AX131</f>
        <v>0</v>
      </c>
      <c r="BD131" s="28">
        <f>G131/(100-BE131)*100</f>
        <v>0</v>
      </c>
      <c r="BE131" s="28">
        <v>0</v>
      </c>
      <c r="BF131" s="28">
        <f>131</f>
        <v>131</v>
      </c>
      <c r="BH131" s="28">
        <f>F131*AO131</f>
        <v>0</v>
      </c>
      <c r="BI131" s="28">
        <f>F131*AP131</f>
        <v>0</v>
      </c>
      <c r="BJ131" s="28">
        <f>F131*G131</f>
        <v>0</v>
      </c>
      <c r="BK131" s="28"/>
      <c r="BL131" s="28">
        <v>17</v>
      </c>
      <c r="BW131" s="28">
        <v>21</v>
      </c>
    </row>
    <row r="132" spans="1:75" x14ac:dyDescent="0.25">
      <c r="A132" s="31"/>
      <c r="C132" s="32" t="s">
        <v>301</v>
      </c>
      <c r="D132" s="32" t="s">
        <v>52</v>
      </c>
      <c r="F132" s="33">
        <v>50.74</v>
      </c>
      <c r="K132" s="34"/>
    </row>
    <row r="133" spans="1:75" x14ac:dyDescent="0.25">
      <c r="A133" s="31"/>
      <c r="C133" s="32" t="s">
        <v>302</v>
      </c>
      <c r="D133" s="32" t="s">
        <v>52</v>
      </c>
      <c r="F133" s="33">
        <v>27.86</v>
      </c>
      <c r="K133" s="34"/>
    </row>
    <row r="134" spans="1:75" ht="13.5" customHeight="1" x14ac:dyDescent="0.25">
      <c r="A134" s="2" t="s">
        <v>303</v>
      </c>
      <c r="B134" s="3" t="s">
        <v>69</v>
      </c>
      <c r="C134" s="83" t="s">
        <v>304</v>
      </c>
      <c r="D134" s="80"/>
      <c r="E134" s="3" t="s">
        <v>71</v>
      </c>
      <c r="F134" s="28">
        <v>165.27600000000001</v>
      </c>
      <c r="G134" s="28">
        <v>0</v>
      </c>
      <c r="H134" s="28">
        <f>F134*AO134</f>
        <v>0</v>
      </c>
      <c r="I134" s="28">
        <f>F134*AP134</f>
        <v>0</v>
      </c>
      <c r="J134" s="28">
        <f>F134*G134</f>
        <v>0</v>
      </c>
      <c r="K134" s="29" t="s">
        <v>61</v>
      </c>
      <c r="Z134" s="28">
        <f>IF(AQ134="5",BJ134,0)</f>
        <v>0</v>
      </c>
      <c r="AB134" s="28">
        <f>IF(AQ134="1",BH134,0)</f>
        <v>0</v>
      </c>
      <c r="AC134" s="28">
        <f>IF(AQ134="1",BI134,0)</f>
        <v>0</v>
      </c>
      <c r="AD134" s="28">
        <f>IF(AQ134="7",BH134,0)</f>
        <v>0</v>
      </c>
      <c r="AE134" s="28">
        <f>IF(AQ134="7",BI134,0)</f>
        <v>0</v>
      </c>
      <c r="AF134" s="28">
        <f>IF(AQ134="2",BH134,0)</f>
        <v>0</v>
      </c>
      <c r="AG134" s="28">
        <f>IF(AQ134="2",BI134,0)</f>
        <v>0</v>
      </c>
      <c r="AH134" s="28">
        <f>IF(AQ134="0",BJ134,0)</f>
        <v>0</v>
      </c>
      <c r="AI134" s="10" t="s">
        <v>236</v>
      </c>
      <c r="AJ134" s="28">
        <f>IF(AN134=0,J134,0)</f>
        <v>0</v>
      </c>
      <c r="AK134" s="28">
        <f>IF(AN134=12,J134,0)</f>
        <v>0</v>
      </c>
      <c r="AL134" s="28">
        <f>IF(AN134=21,J134,0)</f>
        <v>0</v>
      </c>
      <c r="AN134" s="28">
        <v>21</v>
      </c>
      <c r="AO134" s="28">
        <f>G134*1</f>
        <v>0</v>
      </c>
      <c r="AP134" s="28">
        <f>G134*(1-1)</f>
        <v>0</v>
      </c>
      <c r="AQ134" s="30" t="s">
        <v>57</v>
      </c>
      <c r="AV134" s="28">
        <f>AW134+AX134</f>
        <v>0</v>
      </c>
      <c r="AW134" s="28">
        <f>F134*AO134</f>
        <v>0</v>
      </c>
      <c r="AX134" s="28">
        <f>F134*AP134</f>
        <v>0</v>
      </c>
      <c r="AY134" s="30" t="s">
        <v>62</v>
      </c>
      <c r="AZ134" s="30" t="s">
        <v>241</v>
      </c>
      <c r="BA134" s="10" t="s">
        <v>242</v>
      </c>
      <c r="BC134" s="28">
        <f>AW134+AX134</f>
        <v>0</v>
      </c>
      <c r="BD134" s="28">
        <f>G134/(100-BE134)*100</f>
        <v>0</v>
      </c>
      <c r="BE134" s="28">
        <v>0</v>
      </c>
      <c r="BF134" s="28">
        <f>134</f>
        <v>134</v>
      </c>
      <c r="BH134" s="28">
        <f>F134*AO134</f>
        <v>0</v>
      </c>
      <c r="BI134" s="28">
        <f>F134*AP134</f>
        <v>0</v>
      </c>
      <c r="BJ134" s="28">
        <f>F134*G134</f>
        <v>0</v>
      </c>
      <c r="BK134" s="28"/>
      <c r="BL134" s="28">
        <v>17</v>
      </c>
      <c r="BW134" s="28">
        <v>21</v>
      </c>
    </row>
    <row r="135" spans="1:75" x14ac:dyDescent="0.25">
      <c r="A135" s="31"/>
      <c r="C135" s="32" t="s">
        <v>305</v>
      </c>
      <c r="D135" s="32" t="s">
        <v>306</v>
      </c>
      <c r="F135" s="33">
        <v>23.795999999999999</v>
      </c>
      <c r="K135" s="34"/>
    </row>
    <row r="136" spans="1:75" x14ac:dyDescent="0.25">
      <c r="A136" s="31"/>
      <c r="C136" s="32" t="s">
        <v>307</v>
      </c>
      <c r="D136" s="32" t="s">
        <v>308</v>
      </c>
      <c r="F136" s="33">
        <v>141.47999999999999</v>
      </c>
      <c r="K136" s="34"/>
    </row>
    <row r="137" spans="1:75" x14ac:dyDescent="0.25">
      <c r="A137" s="24" t="s">
        <v>52</v>
      </c>
      <c r="B137" s="25" t="s">
        <v>309</v>
      </c>
      <c r="C137" s="139" t="s">
        <v>310</v>
      </c>
      <c r="D137" s="140"/>
      <c r="E137" s="26" t="s">
        <v>4</v>
      </c>
      <c r="F137" s="26" t="s">
        <v>4</v>
      </c>
      <c r="G137" s="26" t="s">
        <v>4</v>
      </c>
      <c r="H137" s="1">
        <f>SUM(H138:H141)</f>
        <v>0</v>
      </c>
      <c r="I137" s="1">
        <f>SUM(I138:I141)</f>
        <v>0</v>
      </c>
      <c r="J137" s="1">
        <f>SUM(J138:J141)</f>
        <v>0</v>
      </c>
      <c r="K137" s="27" t="s">
        <v>52</v>
      </c>
      <c r="AI137" s="10" t="s">
        <v>236</v>
      </c>
      <c r="AS137" s="1">
        <f>SUM(AJ138:AJ141)</f>
        <v>0</v>
      </c>
      <c r="AT137" s="1">
        <f>SUM(AK138:AK141)</f>
        <v>0</v>
      </c>
      <c r="AU137" s="1">
        <f>SUM(AL138:AL141)</f>
        <v>0</v>
      </c>
    </row>
    <row r="138" spans="1:75" ht="13.5" customHeight="1" x14ac:dyDescent="0.25">
      <c r="A138" s="2" t="s">
        <v>311</v>
      </c>
      <c r="B138" s="3" t="s">
        <v>312</v>
      </c>
      <c r="C138" s="83" t="s">
        <v>313</v>
      </c>
      <c r="D138" s="80"/>
      <c r="E138" s="3" t="s">
        <v>148</v>
      </c>
      <c r="F138" s="28">
        <v>190.26</v>
      </c>
      <c r="G138" s="28">
        <v>0</v>
      </c>
      <c r="H138" s="28">
        <f>F138*AO138</f>
        <v>0</v>
      </c>
      <c r="I138" s="28">
        <f>F138*AP138</f>
        <v>0</v>
      </c>
      <c r="J138" s="28">
        <f>F138*G138</f>
        <v>0</v>
      </c>
      <c r="K138" s="29" t="s">
        <v>61</v>
      </c>
      <c r="Z138" s="28">
        <f>IF(AQ138="5",BJ138,0)</f>
        <v>0</v>
      </c>
      <c r="AB138" s="28">
        <f>IF(AQ138="1",BH138,0)</f>
        <v>0</v>
      </c>
      <c r="AC138" s="28">
        <f>IF(AQ138="1",BI138,0)</f>
        <v>0</v>
      </c>
      <c r="AD138" s="28">
        <f>IF(AQ138="7",BH138,0)</f>
        <v>0</v>
      </c>
      <c r="AE138" s="28">
        <f>IF(AQ138="7",BI138,0)</f>
        <v>0</v>
      </c>
      <c r="AF138" s="28">
        <f>IF(AQ138="2",BH138,0)</f>
        <v>0</v>
      </c>
      <c r="AG138" s="28">
        <f>IF(AQ138="2",BI138,0)</f>
        <v>0</v>
      </c>
      <c r="AH138" s="28">
        <f>IF(AQ138="0",BJ138,0)</f>
        <v>0</v>
      </c>
      <c r="AI138" s="10" t="s">
        <v>236</v>
      </c>
      <c r="AJ138" s="28">
        <f>IF(AN138=0,J138,0)</f>
        <v>0</v>
      </c>
      <c r="AK138" s="28">
        <f>IF(AN138=12,J138,0)</f>
        <v>0</v>
      </c>
      <c r="AL138" s="28">
        <f>IF(AN138=21,J138,0)</f>
        <v>0</v>
      </c>
      <c r="AN138" s="28">
        <v>21</v>
      </c>
      <c r="AO138" s="28">
        <f>G138*0.29733007</f>
        <v>0</v>
      </c>
      <c r="AP138" s="28">
        <f>G138*(1-0.29733007)</f>
        <v>0</v>
      </c>
      <c r="AQ138" s="30" t="s">
        <v>57</v>
      </c>
      <c r="AV138" s="28">
        <f>AW138+AX138</f>
        <v>0</v>
      </c>
      <c r="AW138" s="28">
        <f>F138*AO138</f>
        <v>0</v>
      </c>
      <c r="AX138" s="28">
        <f>F138*AP138</f>
        <v>0</v>
      </c>
      <c r="AY138" s="30" t="s">
        <v>314</v>
      </c>
      <c r="AZ138" s="30" t="s">
        <v>315</v>
      </c>
      <c r="BA138" s="10" t="s">
        <v>242</v>
      </c>
      <c r="BC138" s="28">
        <f>AW138+AX138</f>
        <v>0</v>
      </c>
      <c r="BD138" s="28">
        <f>G138/(100-BE138)*100</f>
        <v>0</v>
      </c>
      <c r="BE138" s="28">
        <v>0</v>
      </c>
      <c r="BF138" s="28">
        <f>138</f>
        <v>138</v>
      </c>
      <c r="BH138" s="28">
        <f>F138*AO138</f>
        <v>0</v>
      </c>
      <c r="BI138" s="28">
        <f>F138*AP138</f>
        <v>0</v>
      </c>
      <c r="BJ138" s="28">
        <f>F138*G138</f>
        <v>0</v>
      </c>
      <c r="BK138" s="28"/>
      <c r="BL138" s="28">
        <v>61</v>
      </c>
      <c r="BW138" s="28">
        <v>21</v>
      </c>
    </row>
    <row r="139" spans="1:75" x14ac:dyDescent="0.25">
      <c r="A139" s="31"/>
      <c r="C139" s="32" t="s">
        <v>316</v>
      </c>
      <c r="D139" s="32" t="s">
        <v>317</v>
      </c>
      <c r="F139" s="33">
        <v>174.26</v>
      </c>
      <c r="K139" s="34"/>
    </row>
    <row r="140" spans="1:75" x14ac:dyDescent="0.25">
      <c r="A140" s="31"/>
      <c r="C140" s="32" t="s">
        <v>145</v>
      </c>
      <c r="D140" s="32" t="s">
        <v>318</v>
      </c>
      <c r="F140" s="33">
        <v>16</v>
      </c>
      <c r="K140" s="34"/>
    </row>
    <row r="141" spans="1:75" ht="13.5" customHeight="1" x14ac:dyDescent="0.25">
      <c r="A141" s="2" t="s">
        <v>319</v>
      </c>
      <c r="B141" s="3" t="s">
        <v>320</v>
      </c>
      <c r="C141" s="83" t="s">
        <v>321</v>
      </c>
      <c r="D141" s="80"/>
      <c r="E141" s="3" t="s">
        <v>148</v>
      </c>
      <c r="F141" s="28">
        <v>240.005</v>
      </c>
      <c r="G141" s="28">
        <v>0</v>
      </c>
      <c r="H141" s="28">
        <f>F141*AO141</f>
        <v>0</v>
      </c>
      <c r="I141" s="28">
        <f>F141*AP141</f>
        <v>0</v>
      </c>
      <c r="J141" s="28">
        <f>F141*G141</f>
        <v>0</v>
      </c>
      <c r="K141" s="29" t="s">
        <v>61</v>
      </c>
      <c r="Z141" s="28">
        <f>IF(AQ141="5",BJ141,0)</f>
        <v>0</v>
      </c>
      <c r="AB141" s="28">
        <f>IF(AQ141="1",BH141,0)</f>
        <v>0</v>
      </c>
      <c r="AC141" s="28">
        <f>IF(AQ141="1",BI141,0)</f>
        <v>0</v>
      </c>
      <c r="AD141" s="28">
        <f>IF(AQ141="7",BH141,0)</f>
        <v>0</v>
      </c>
      <c r="AE141" s="28">
        <f>IF(AQ141="7",BI141,0)</f>
        <v>0</v>
      </c>
      <c r="AF141" s="28">
        <f>IF(AQ141="2",BH141,0)</f>
        <v>0</v>
      </c>
      <c r="AG141" s="28">
        <f>IF(AQ141="2",BI141,0)</f>
        <v>0</v>
      </c>
      <c r="AH141" s="28">
        <f>IF(AQ141="0",BJ141,0)</f>
        <v>0</v>
      </c>
      <c r="AI141" s="10" t="s">
        <v>236</v>
      </c>
      <c r="AJ141" s="28">
        <f>IF(AN141=0,J141,0)</f>
        <v>0</v>
      </c>
      <c r="AK141" s="28">
        <f>IF(AN141=12,J141,0)</f>
        <v>0</v>
      </c>
      <c r="AL141" s="28">
        <f>IF(AN141=21,J141,0)</f>
        <v>0</v>
      </c>
      <c r="AN141" s="28">
        <v>21</v>
      </c>
      <c r="AO141" s="28">
        <f>G141*0.439504132</f>
        <v>0</v>
      </c>
      <c r="AP141" s="28">
        <f>G141*(1-0.439504132)</f>
        <v>0</v>
      </c>
      <c r="AQ141" s="30" t="s">
        <v>57</v>
      </c>
      <c r="AV141" s="28">
        <f>AW141+AX141</f>
        <v>0</v>
      </c>
      <c r="AW141" s="28">
        <f>F141*AO141</f>
        <v>0</v>
      </c>
      <c r="AX141" s="28">
        <f>F141*AP141</f>
        <v>0</v>
      </c>
      <c r="AY141" s="30" t="s">
        <v>314</v>
      </c>
      <c r="AZ141" s="30" t="s">
        <v>315</v>
      </c>
      <c r="BA141" s="10" t="s">
        <v>242</v>
      </c>
      <c r="BC141" s="28">
        <f>AW141+AX141</f>
        <v>0</v>
      </c>
      <c r="BD141" s="28">
        <f>G141/(100-BE141)*100</f>
        <v>0</v>
      </c>
      <c r="BE141" s="28">
        <v>0</v>
      </c>
      <c r="BF141" s="28">
        <f>141</f>
        <v>141</v>
      </c>
      <c r="BH141" s="28">
        <f>F141*AO141</f>
        <v>0</v>
      </c>
      <c r="BI141" s="28">
        <f>F141*AP141</f>
        <v>0</v>
      </c>
      <c r="BJ141" s="28">
        <f>F141*G141</f>
        <v>0</v>
      </c>
      <c r="BK141" s="28"/>
      <c r="BL141" s="28">
        <v>61</v>
      </c>
      <c r="BW141" s="28">
        <v>21</v>
      </c>
    </row>
    <row r="142" spans="1:75" x14ac:dyDescent="0.25">
      <c r="A142" s="31"/>
      <c r="C142" s="32" t="s">
        <v>322</v>
      </c>
      <c r="D142" s="32" t="s">
        <v>323</v>
      </c>
      <c r="F142" s="33">
        <v>65.745000000000005</v>
      </c>
      <c r="K142" s="34"/>
    </row>
    <row r="143" spans="1:75" x14ac:dyDescent="0.25">
      <c r="A143" s="31"/>
      <c r="C143" s="32" t="s">
        <v>316</v>
      </c>
      <c r="D143" s="32" t="s">
        <v>324</v>
      </c>
      <c r="F143" s="33">
        <v>174.26</v>
      </c>
      <c r="K143" s="34"/>
    </row>
    <row r="144" spans="1:75" x14ac:dyDescent="0.25">
      <c r="A144" s="24" t="s">
        <v>52</v>
      </c>
      <c r="B144" s="25" t="s">
        <v>82</v>
      </c>
      <c r="C144" s="139" t="s">
        <v>83</v>
      </c>
      <c r="D144" s="140"/>
      <c r="E144" s="26" t="s">
        <v>4</v>
      </c>
      <c r="F144" s="26" t="s">
        <v>4</v>
      </c>
      <c r="G144" s="26" t="s">
        <v>4</v>
      </c>
      <c r="H144" s="1">
        <f>SUM(H145:H145)</f>
        <v>0</v>
      </c>
      <c r="I144" s="1">
        <f>SUM(I145:I145)</f>
        <v>0</v>
      </c>
      <c r="J144" s="1">
        <f>SUM(J145:J145)</f>
        <v>0</v>
      </c>
      <c r="K144" s="27" t="s">
        <v>52</v>
      </c>
      <c r="AI144" s="10" t="s">
        <v>236</v>
      </c>
      <c r="AS144" s="1">
        <f>SUM(AJ145:AJ145)</f>
        <v>0</v>
      </c>
      <c r="AT144" s="1">
        <f>SUM(AK145:AK145)</f>
        <v>0</v>
      </c>
      <c r="AU144" s="1">
        <f>SUM(AL145:AL145)</f>
        <v>0</v>
      </c>
    </row>
    <row r="145" spans="1:75" ht="13.5" customHeight="1" x14ac:dyDescent="0.25">
      <c r="A145" s="2" t="s">
        <v>325</v>
      </c>
      <c r="B145" s="3" t="s">
        <v>326</v>
      </c>
      <c r="C145" s="83" t="s">
        <v>327</v>
      </c>
      <c r="D145" s="80"/>
      <c r="E145" s="3" t="s">
        <v>71</v>
      </c>
      <c r="F145" s="28">
        <v>617.98950000000002</v>
      </c>
      <c r="G145" s="28">
        <v>0</v>
      </c>
      <c r="H145" s="28">
        <f>F145*AO145</f>
        <v>0</v>
      </c>
      <c r="I145" s="28">
        <f>F145*AP145</f>
        <v>0</v>
      </c>
      <c r="J145" s="28">
        <f>F145*G145</f>
        <v>0</v>
      </c>
      <c r="K145" s="29" t="s">
        <v>61</v>
      </c>
      <c r="Z145" s="28">
        <f>IF(AQ145="5",BJ145,0)</f>
        <v>0</v>
      </c>
      <c r="AB145" s="28">
        <f>IF(AQ145="1",BH145,0)</f>
        <v>0</v>
      </c>
      <c r="AC145" s="28">
        <f>IF(AQ145="1",BI145,0)</f>
        <v>0</v>
      </c>
      <c r="AD145" s="28">
        <f>IF(AQ145="7",BH145,0)</f>
        <v>0</v>
      </c>
      <c r="AE145" s="28">
        <f>IF(AQ145="7",BI145,0)</f>
        <v>0</v>
      </c>
      <c r="AF145" s="28">
        <f>IF(AQ145="2",BH145,0)</f>
        <v>0</v>
      </c>
      <c r="AG145" s="28">
        <f>IF(AQ145="2",BI145,0)</f>
        <v>0</v>
      </c>
      <c r="AH145" s="28">
        <f>IF(AQ145="0",BJ145,0)</f>
        <v>0</v>
      </c>
      <c r="AI145" s="10" t="s">
        <v>236</v>
      </c>
      <c r="AJ145" s="28">
        <f>IF(AN145=0,J145,0)</f>
        <v>0</v>
      </c>
      <c r="AK145" s="28">
        <f>IF(AN145=12,J145,0)</f>
        <v>0</v>
      </c>
      <c r="AL145" s="28">
        <f>IF(AN145=21,J145,0)</f>
        <v>0</v>
      </c>
      <c r="AN145" s="28">
        <v>21</v>
      </c>
      <c r="AO145" s="28">
        <f>G145*0</f>
        <v>0</v>
      </c>
      <c r="AP145" s="28">
        <f>G145*(1-0)</f>
        <v>0</v>
      </c>
      <c r="AQ145" s="30" t="s">
        <v>87</v>
      </c>
      <c r="AV145" s="28">
        <f>AW145+AX145</f>
        <v>0</v>
      </c>
      <c r="AW145" s="28">
        <f>F145*AO145</f>
        <v>0</v>
      </c>
      <c r="AX145" s="28">
        <f>F145*AP145</f>
        <v>0</v>
      </c>
      <c r="AY145" s="30" t="s">
        <v>88</v>
      </c>
      <c r="AZ145" s="30" t="s">
        <v>328</v>
      </c>
      <c r="BA145" s="10" t="s">
        <v>242</v>
      </c>
      <c r="BC145" s="28">
        <f>AW145+AX145</f>
        <v>0</v>
      </c>
      <c r="BD145" s="28">
        <f>G145/(100-BE145)*100</f>
        <v>0</v>
      </c>
      <c r="BE145" s="28">
        <v>0</v>
      </c>
      <c r="BF145" s="28">
        <f>145</f>
        <v>145</v>
      </c>
      <c r="BH145" s="28">
        <f>F145*AO145</f>
        <v>0</v>
      </c>
      <c r="BI145" s="28">
        <f>F145*AP145</f>
        <v>0</v>
      </c>
      <c r="BJ145" s="28">
        <f>F145*G145</f>
        <v>0</v>
      </c>
      <c r="BK145" s="28"/>
      <c r="BL145" s="28"/>
      <c r="BW145" s="28">
        <v>21</v>
      </c>
    </row>
    <row r="146" spans="1:75" x14ac:dyDescent="0.25">
      <c r="A146" s="31"/>
      <c r="C146" s="32" t="s">
        <v>329</v>
      </c>
      <c r="D146" s="32" t="s">
        <v>52</v>
      </c>
      <c r="F146" s="33">
        <v>617.98950000000002</v>
      </c>
      <c r="K146" s="34"/>
    </row>
    <row r="147" spans="1:75" x14ac:dyDescent="0.25">
      <c r="A147" s="24" t="s">
        <v>52</v>
      </c>
      <c r="B147" s="25" t="s">
        <v>174</v>
      </c>
      <c r="C147" s="139" t="s">
        <v>330</v>
      </c>
      <c r="D147" s="140"/>
      <c r="E147" s="26" t="s">
        <v>4</v>
      </c>
      <c r="F147" s="26" t="s">
        <v>4</v>
      </c>
      <c r="G147" s="26" t="s">
        <v>4</v>
      </c>
      <c r="H147" s="1">
        <f>SUM(H148:H148)</f>
        <v>0</v>
      </c>
      <c r="I147" s="1">
        <f>SUM(I148:I148)</f>
        <v>0</v>
      </c>
      <c r="J147" s="1">
        <f>SUM(J148:J148)</f>
        <v>0</v>
      </c>
      <c r="K147" s="27" t="s">
        <v>52</v>
      </c>
      <c r="AI147" s="10" t="s">
        <v>236</v>
      </c>
      <c r="AS147" s="1">
        <f>SUM(AJ148:AJ148)</f>
        <v>0</v>
      </c>
      <c r="AT147" s="1">
        <f>SUM(AK148:AK148)</f>
        <v>0</v>
      </c>
      <c r="AU147" s="1">
        <f>SUM(AL148:AL148)</f>
        <v>0</v>
      </c>
    </row>
    <row r="148" spans="1:75" ht="13.5" customHeight="1" x14ac:dyDescent="0.25">
      <c r="A148" s="2" t="s">
        <v>331</v>
      </c>
      <c r="B148" s="3" t="s">
        <v>332</v>
      </c>
      <c r="C148" s="83" t="s">
        <v>333</v>
      </c>
      <c r="D148" s="80"/>
      <c r="E148" s="3" t="s">
        <v>148</v>
      </c>
      <c r="F148" s="28">
        <v>469.25</v>
      </c>
      <c r="G148" s="28">
        <v>0</v>
      </c>
      <c r="H148" s="28">
        <f>F148*AO148</f>
        <v>0</v>
      </c>
      <c r="I148" s="28">
        <f>F148*AP148</f>
        <v>0</v>
      </c>
      <c r="J148" s="28">
        <f>F148*G148</f>
        <v>0</v>
      </c>
      <c r="K148" s="29" t="s">
        <v>61</v>
      </c>
      <c r="Z148" s="28">
        <f>IF(AQ148="5",BJ148,0)</f>
        <v>0</v>
      </c>
      <c r="AB148" s="28">
        <f>IF(AQ148="1",BH148,0)</f>
        <v>0</v>
      </c>
      <c r="AC148" s="28">
        <f>IF(AQ148="1",BI148,0)</f>
        <v>0</v>
      </c>
      <c r="AD148" s="28">
        <f>IF(AQ148="7",BH148,0)</f>
        <v>0</v>
      </c>
      <c r="AE148" s="28">
        <f>IF(AQ148="7",BI148,0)</f>
        <v>0</v>
      </c>
      <c r="AF148" s="28">
        <f>IF(AQ148="2",BH148,0)</f>
        <v>0</v>
      </c>
      <c r="AG148" s="28">
        <f>IF(AQ148="2",BI148,0)</f>
        <v>0</v>
      </c>
      <c r="AH148" s="28">
        <f>IF(AQ148="0",BJ148,0)</f>
        <v>0</v>
      </c>
      <c r="AI148" s="10" t="s">
        <v>236</v>
      </c>
      <c r="AJ148" s="28">
        <f>IF(AN148=0,J148,0)</f>
        <v>0</v>
      </c>
      <c r="AK148" s="28">
        <f>IF(AN148=12,J148,0)</f>
        <v>0</v>
      </c>
      <c r="AL148" s="28">
        <f>IF(AN148=21,J148,0)</f>
        <v>0</v>
      </c>
      <c r="AN148" s="28">
        <v>21</v>
      </c>
      <c r="AO148" s="28">
        <f>G148*0</f>
        <v>0</v>
      </c>
      <c r="AP148" s="28">
        <f>G148*(1-0)</f>
        <v>0</v>
      </c>
      <c r="AQ148" s="30" t="s">
        <v>57</v>
      </c>
      <c r="AV148" s="28">
        <f>AW148+AX148</f>
        <v>0</v>
      </c>
      <c r="AW148" s="28">
        <f>F148*AO148</f>
        <v>0</v>
      </c>
      <c r="AX148" s="28">
        <f>F148*AP148</f>
        <v>0</v>
      </c>
      <c r="AY148" s="30" t="s">
        <v>334</v>
      </c>
      <c r="AZ148" s="30" t="s">
        <v>335</v>
      </c>
      <c r="BA148" s="10" t="s">
        <v>242</v>
      </c>
      <c r="BC148" s="28">
        <f>AW148+AX148</f>
        <v>0</v>
      </c>
      <c r="BD148" s="28">
        <f>G148/(100-BE148)*100</f>
        <v>0</v>
      </c>
      <c r="BE148" s="28">
        <v>0</v>
      </c>
      <c r="BF148" s="28">
        <f>148</f>
        <v>148</v>
      </c>
      <c r="BH148" s="28">
        <f>F148*AO148</f>
        <v>0</v>
      </c>
      <c r="BI148" s="28">
        <f>F148*AP148</f>
        <v>0</v>
      </c>
      <c r="BJ148" s="28">
        <f>F148*G148</f>
        <v>0</v>
      </c>
      <c r="BK148" s="28"/>
      <c r="BL148" s="28">
        <v>21</v>
      </c>
      <c r="BW148" s="28">
        <v>21</v>
      </c>
    </row>
    <row r="149" spans="1:75" x14ac:dyDescent="0.25">
      <c r="A149" s="31"/>
      <c r="C149" s="32" t="s">
        <v>336</v>
      </c>
      <c r="D149" s="32" t="s">
        <v>52</v>
      </c>
      <c r="F149" s="33">
        <v>466</v>
      </c>
      <c r="K149" s="34"/>
    </row>
    <row r="150" spans="1:75" x14ac:dyDescent="0.25">
      <c r="A150" s="31"/>
      <c r="C150" s="32" t="s">
        <v>337</v>
      </c>
      <c r="D150" s="32" t="s">
        <v>52</v>
      </c>
      <c r="F150" s="33">
        <v>3.25</v>
      </c>
      <c r="K150" s="34"/>
    </row>
    <row r="151" spans="1:75" x14ac:dyDescent="0.25">
      <c r="A151" s="24" t="s">
        <v>52</v>
      </c>
      <c r="B151" s="25" t="s">
        <v>179</v>
      </c>
      <c r="C151" s="139" t="s">
        <v>338</v>
      </c>
      <c r="D151" s="140"/>
      <c r="E151" s="26" t="s">
        <v>4</v>
      </c>
      <c r="F151" s="26" t="s">
        <v>4</v>
      </c>
      <c r="G151" s="26" t="s">
        <v>4</v>
      </c>
      <c r="H151" s="1">
        <f>SUM(H152:H152)</f>
        <v>0</v>
      </c>
      <c r="I151" s="1">
        <f>SUM(I152:I152)</f>
        <v>0</v>
      </c>
      <c r="J151" s="1">
        <f>SUM(J152:J152)</f>
        <v>0</v>
      </c>
      <c r="K151" s="27" t="s">
        <v>52</v>
      </c>
      <c r="AI151" s="10" t="s">
        <v>236</v>
      </c>
      <c r="AS151" s="1">
        <f>SUM(AJ152:AJ152)</f>
        <v>0</v>
      </c>
      <c r="AT151" s="1">
        <f>SUM(AK152:AK152)</f>
        <v>0</v>
      </c>
      <c r="AU151" s="1">
        <f>SUM(AL152:AL152)</f>
        <v>0</v>
      </c>
    </row>
    <row r="152" spans="1:75" ht="27" customHeight="1" x14ac:dyDescent="0.25">
      <c r="A152" s="2" t="s">
        <v>339</v>
      </c>
      <c r="B152" s="3" t="s">
        <v>340</v>
      </c>
      <c r="C152" s="83" t="s">
        <v>341</v>
      </c>
      <c r="D152" s="80"/>
      <c r="E152" s="3" t="s">
        <v>78</v>
      </c>
      <c r="F152" s="28">
        <v>268.8</v>
      </c>
      <c r="G152" s="28">
        <v>0</v>
      </c>
      <c r="H152" s="28">
        <f>F152*AO152</f>
        <v>0</v>
      </c>
      <c r="I152" s="28">
        <f>F152*AP152</f>
        <v>0</v>
      </c>
      <c r="J152" s="28">
        <f>F152*G152</f>
        <v>0</v>
      </c>
      <c r="K152" s="29" t="s">
        <v>61</v>
      </c>
      <c r="Z152" s="28">
        <f>IF(AQ152="5",BJ152,0)</f>
        <v>0</v>
      </c>
      <c r="AB152" s="28">
        <f>IF(AQ152="1",BH152,0)</f>
        <v>0</v>
      </c>
      <c r="AC152" s="28">
        <f>IF(AQ152="1",BI152,0)</f>
        <v>0</v>
      </c>
      <c r="AD152" s="28">
        <f>IF(AQ152="7",BH152,0)</f>
        <v>0</v>
      </c>
      <c r="AE152" s="28">
        <f>IF(AQ152="7",BI152,0)</f>
        <v>0</v>
      </c>
      <c r="AF152" s="28">
        <f>IF(AQ152="2",BH152,0)</f>
        <v>0</v>
      </c>
      <c r="AG152" s="28">
        <f>IF(AQ152="2",BI152,0)</f>
        <v>0</v>
      </c>
      <c r="AH152" s="28">
        <f>IF(AQ152="0",BJ152,0)</f>
        <v>0</v>
      </c>
      <c r="AI152" s="10" t="s">
        <v>236</v>
      </c>
      <c r="AJ152" s="28">
        <f>IF(AN152=0,J152,0)</f>
        <v>0</v>
      </c>
      <c r="AK152" s="28">
        <f>IF(AN152=12,J152,0)</f>
        <v>0</v>
      </c>
      <c r="AL152" s="28">
        <f>IF(AN152=21,J152,0)</f>
        <v>0</v>
      </c>
      <c r="AN152" s="28">
        <v>21</v>
      </c>
      <c r="AO152" s="28">
        <f>G152*0.483605007</f>
        <v>0</v>
      </c>
      <c r="AP152" s="28">
        <f>G152*(1-0.483605007)</f>
        <v>0</v>
      </c>
      <c r="AQ152" s="30" t="s">
        <v>57</v>
      </c>
      <c r="AV152" s="28">
        <f>AW152+AX152</f>
        <v>0</v>
      </c>
      <c r="AW152" s="28">
        <f>F152*AO152</f>
        <v>0</v>
      </c>
      <c r="AX152" s="28">
        <f>F152*AP152</f>
        <v>0</v>
      </c>
      <c r="AY152" s="30" t="s">
        <v>342</v>
      </c>
      <c r="AZ152" s="30" t="s">
        <v>335</v>
      </c>
      <c r="BA152" s="10" t="s">
        <v>242</v>
      </c>
      <c r="BC152" s="28">
        <f>AW152+AX152</f>
        <v>0</v>
      </c>
      <c r="BD152" s="28">
        <f>G152/(100-BE152)*100</f>
        <v>0</v>
      </c>
      <c r="BE152" s="28">
        <v>0</v>
      </c>
      <c r="BF152" s="28">
        <f>152</f>
        <v>152</v>
      </c>
      <c r="BH152" s="28">
        <f>F152*AO152</f>
        <v>0</v>
      </c>
      <c r="BI152" s="28">
        <f>F152*AP152</f>
        <v>0</v>
      </c>
      <c r="BJ152" s="28">
        <f>F152*G152</f>
        <v>0</v>
      </c>
      <c r="BK152" s="28"/>
      <c r="BL152" s="28">
        <v>22</v>
      </c>
      <c r="BW152" s="28">
        <v>21</v>
      </c>
    </row>
    <row r="153" spans="1:75" x14ac:dyDescent="0.25">
      <c r="A153" s="31"/>
      <c r="C153" s="32" t="s">
        <v>52</v>
      </c>
      <c r="D153" s="32" t="s">
        <v>343</v>
      </c>
      <c r="F153" s="33">
        <v>0</v>
      </c>
      <c r="K153" s="34"/>
    </row>
    <row r="154" spans="1:75" x14ac:dyDescent="0.25">
      <c r="A154" s="31"/>
      <c r="C154" s="32" t="s">
        <v>344</v>
      </c>
      <c r="D154" s="32" t="s">
        <v>345</v>
      </c>
      <c r="F154" s="33">
        <v>64</v>
      </c>
      <c r="K154" s="34"/>
    </row>
    <row r="155" spans="1:75" x14ac:dyDescent="0.25">
      <c r="A155" s="31"/>
      <c r="C155" s="32" t="s">
        <v>346</v>
      </c>
      <c r="D155" s="32" t="s">
        <v>347</v>
      </c>
      <c r="F155" s="33">
        <v>192</v>
      </c>
      <c r="K155" s="34"/>
    </row>
    <row r="156" spans="1:75" x14ac:dyDescent="0.25">
      <c r="A156" s="31"/>
      <c r="C156" s="32" t="s">
        <v>348</v>
      </c>
      <c r="D156" s="32" t="s">
        <v>349</v>
      </c>
      <c r="F156" s="33">
        <v>12.8</v>
      </c>
      <c r="K156" s="34"/>
    </row>
    <row r="157" spans="1:75" x14ac:dyDescent="0.25">
      <c r="A157" s="24" t="s">
        <v>52</v>
      </c>
      <c r="B157" s="25" t="s">
        <v>202</v>
      </c>
      <c r="C157" s="139" t="s">
        <v>350</v>
      </c>
      <c r="D157" s="140"/>
      <c r="E157" s="26" t="s">
        <v>4</v>
      </c>
      <c r="F157" s="26" t="s">
        <v>4</v>
      </c>
      <c r="G157" s="26" t="s">
        <v>4</v>
      </c>
      <c r="H157" s="1">
        <f>SUM(H158:H228)</f>
        <v>0</v>
      </c>
      <c r="I157" s="1">
        <f>SUM(I158:I228)</f>
        <v>0</v>
      </c>
      <c r="J157" s="1">
        <f>SUM(J158:J228)</f>
        <v>0</v>
      </c>
      <c r="K157" s="27" t="s">
        <v>52</v>
      </c>
      <c r="AI157" s="10" t="s">
        <v>236</v>
      </c>
      <c r="AS157" s="1">
        <f>SUM(AJ158:AJ228)</f>
        <v>0</v>
      </c>
      <c r="AT157" s="1">
        <f>SUM(AK158:AK228)</f>
        <v>0</v>
      </c>
      <c r="AU157" s="1">
        <f>SUM(AL158:AL228)</f>
        <v>0</v>
      </c>
    </row>
    <row r="158" spans="1:75" ht="13.5" customHeight="1" x14ac:dyDescent="0.25">
      <c r="A158" s="2" t="s">
        <v>351</v>
      </c>
      <c r="B158" s="3" t="s">
        <v>352</v>
      </c>
      <c r="C158" s="83" t="s">
        <v>353</v>
      </c>
      <c r="D158" s="80"/>
      <c r="E158" s="3" t="s">
        <v>60</v>
      </c>
      <c r="F158" s="28">
        <v>70.387500000000003</v>
      </c>
      <c r="G158" s="28">
        <v>0</v>
      </c>
      <c r="H158" s="28">
        <f>F158*AO158</f>
        <v>0</v>
      </c>
      <c r="I158" s="28">
        <f>F158*AP158</f>
        <v>0</v>
      </c>
      <c r="J158" s="28">
        <f>F158*G158</f>
        <v>0</v>
      </c>
      <c r="K158" s="29" t="s">
        <v>61</v>
      </c>
      <c r="Z158" s="28">
        <f>IF(AQ158="5",BJ158,0)</f>
        <v>0</v>
      </c>
      <c r="AB158" s="28">
        <f>IF(AQ158="1",BH158,0)</f>
        <v>0</v>
      </c>
      <c r="AC158" s="28">
        <f>IF(AQ158="1",BI158,0)</f>
        <v>0</v>
      </c>
      <c r="AD158" s="28">
        <f>IF(AQ158="7",BH158,0)</f>
        <v>0</v>
      </c>
      <c r="AE158" s="28">
        <f>IF(AQ158="7",BI158,0)</f>
        <v>0</v>
      </c>
      <c r="AF158" s="28">
        <f>IF(AQ158="2",BH158,0)</f>
        <v>0</v>
      </c>
      <c r="AG158" s="28">
        <f>IF(AQ158="2",BI158,0)</f>
        <v>0</v>
      </c>
      <c r="AH158" s="28">
        <f>IF(AQ158="0",BJ158,0)</f>
        <v>0</v>
      </c>
      <c r="AI158" s="10" t="s">
        <v>236</v>
      </c>
      <c r="AJ158" s="28">
        <f>IF(AN158=0,J158,0)</f>
        <v>0</v>
      </c>
      <c r="AK158" s="28">
        <f>IF(AN158=12,J158,0)</f>
        <v>0</v>
      </c>
      <c r="AL158" s="28">
        <f>IF(AN158=21,J158,0)</f>
        <v>0</v>
      </c>
      <c r="AN158" s="28">
        <v>21</v>
      </c>
      <c r="AO158" s="28">
        <f>G158*0.921287089</f>
        <v>0</v>
      </c>
      <c r="AP158" s="28">
        <f>G158*(1-0.921287089)</f>
        <v>0</v>
      </c>
      <c r="AQ158" s="30" t="s">
        <v>57</v>
      </c>
      <c r="AV158" s="28">
        <f>AW158+AX158</f>
        <v>0</v>
      </c>
      <c r="AW158" s="28">
        <f>F158*AO158</f>
        <v>0</v>
      </c>
      <c r="AX158" s="28">
        <f>F158*AP158</f>
        <v>0</v>
      </c>
      <c r="AY158" s="30" t="s">
        <v>354</v>
      </c>
      <c r="AZ158" s="30" t="s">
        <v>335</v>
      </c>
      <c r="BA158" s="10" t="s">
        <v>242</v>
      </c>
      <c r="BC158" s="28">
        <f>AW158+AX158</f>
        <v>0</v>
      </c>
      <c r="BD158" s="28">
        <f>G158/(100-BE158)*100</f>
        <v>0</v>
      </c>
      <c r="BE158" s="28">
        <v>0</v>
      </c>
      <c r="BF158" s="28">
        <f>158</f>
        <v>158</v>
      </c>
      <c r="BH158" s="28">
        <f>F158*AO158</f>
        <v>0</v>
      </c>
      <c r="BI158" s="28">
        <f>F158*AP158</f>
        <v>0</v>
      </c>
      <c r="BJ158" s="28">
        <f>F158*G158</f>
        <v>0</v>
      </c>
      <c r="BK158" s="28"/>
      <c r="BL158" s="28">
        <v>27</v>
      </c>
      <c r="BW158" s="28">
        <v>21</v>
      </c>
    </row>
    <row r="159" spans="1:75" x14ac:dyDescent="0.25">
      <c r="A159" s="31"/>
      <c r="C159" s="32" t="s">
        <v>355</v>
      </c>
      <c r="D159" s="32" t="s">
        <v>356</v>
      </c>
      <c r="F159" s="33">
        <v>69.900000000000006</v>
      </c>
      <c r="K159" s="34"/>
    </row>
    <row r="160" spans="1:75" x14ac:dyDescent="0.25">
      <c r="A160" s="31"/>
      <c r="C160" s="32" t="s">
        <v>357</v>
      </c>
      <c r="D160" s="32" t="s">
        <v>52</v>
      </c>
      <c r="F160" s="33">
        <v>0.48749999999999999</v>
      </c>
      <c r="K160" s="34"/>
    </row>
    <row r="161" spans="1:75" ht="13.5" customHeight="1" x14ac:dyDescent="0.25">
      <c r="A161" s="2" t="s">
        <v>358</v>
      </c>
      <c r="B161" s="3" t="s">
        <v>359</v>
      </c>
      <c r="C161" s="83" t="s">
        <v>360</v>
      </c>
      <c r="D161" s="80"/>
      <c r="E161" s="3" t="s">
        <v>148</v>
      </c>
      <c r="F161" s="28">
        <v>50.4</v>
      </c>
      <c r="G161" s="28">
        <v>0</v>
      </c>
      <c r="H161" s="28">
        <f>F161*AO161</f>
        <v>0</v>
      </c>
      <c r="I161" s="28">
        <f>F161*AP161</f>
        <v>0</v>
      </c>
      <c r="J161" s="28">
        <f>F161*G161</f>
        <v>0</v>
      </c>
      <c r="K161" s="29" t="s">
        <v>61</v>
      </c>
      <c r="Z161" s="28">
        <f>IF(AQ161="5",BJ161,0)</f>
        <v>0</v>
      </c>
      <c r="AB161" s="28">
        <f>IF(AQ161="1",BH161,0)</f>
        <v>0</v>
      </c>
      <c r="AC161" s="28">
        <f>IF(AQ161="1",BI161,0)</f>
        <v>0</v>
      </c>
      <c r="AD161" s="28">
        <f>IF(AQ161="7",BH161,0)</f>
        <v>0</v>
      </c>
      <c r="AE161" s="28">
        <f>IF(AQ161="7",BI161,0)</f>
        <v>0</v>
      </c>
      <c r="AF161" s="28">
        <f>IF(AQ161="2",BH161,0)</f>
        <v>0</v>
      </c>
      <c r="AG161" s="28">
        <f>IF(AQ161="2",BI161,0)</f>
        <v>0</v>
      </c>
      <c r="AH161" s="28">
        <f>IF(AQ161="0",BJ161,0)</f>
        <v>0</v>
      </c>
      <c r="AI161" s="10" t="s">
        <v>236</v>
      </c>
      <c r="AJ161" s="28">
        <f>IF(AN161=0,J161,0)</f>
        <v>0</v>
      </c>
      <c r="AK161" s="28">
        <f>IF(AN161=12,J161,0)</f>
        <v>0</v>
      </c>
      <c r="AL161" s="28">
        <f>IF(AN161=21,J161,0)</f>
        <v>0</v>
      </c>
      <c r="AN161" s="28">
        <v>21</v>
      </c>
      <c r="AO161" s="28">
        <f>G161*0.251445624</f>
        <v>0</v>
      </c>
      <c r="AP161" s="28">
        <f>G161*(1-0.251445624)</f>
        <v>0</v>
      </c>
      <c r="AQ161" s="30" t="s">
        <v>57</v>
      </c>
      <c r="AV161" s="28">
        <f>AW161+AX161</f>
        <v>0</v>
      </c>
      <c r="AW161" s="28">
        <f>F161*AO161</f>
        <v>0</v>
      </c>
      <c r="AX161" s="28">
        <f>F161*AP161</f>
        <v>0</v>
      </c>
      <c r="AY161" s="30" t="s">
        <v>354</v>
      </c>
      <c r="AZ161" s="30" t="s">
        <v>335</v>
      </c>
      <c r="BA161" s="10" t="s">
        <v>242</v>
      </c>
      <c r="BC161" s="28">
        <f>AW161+AX161</f>
        <v>0</v>
      </c>
      <c r="BD161" s="28">
        <f>G161/(100-BE161)*100</f>
        <v>0</v>
      </c>
      <c r="BE161" s="28">
        <v>0</v>
      </c>
      <c r="BF161" s="28">
        <f>161</f>
        <v>161</v>
      </c>
      <c r="BH161" s="28">
        <f>F161*AO161</f>
        <v>0</v>
      </c>
      <c r="BI161" s="28">
        <f>F161*AP161</f>
        <v>0</v>
      </c>
      <c r="BJ161" s="28">
        <f>F161*G161</f>
        <v>0</v>
      </c>
      <c r="BK161" s="28"/>
      <c r="BL161" s="28">
        <v>27</v>
      </c>
      <c r="BW161" s="28">
        <v>21</v>
      </c>
    </row>
    <row r="162" spans="1:75" x14ac:dyDescent="0.25">
      <c r="A162" s="31"/>
      <c r="C162" s="32" t="s">
        <v>361</v>
      </c>
      <c r="D162" s="32" t="s">
        <v>52</v>
      </c>
      <c r="F162" s="33">
        <v>16</v>
      </c>
      <c r="K162" s="34"/>
    </row>
    <row r="163" spans="1:75" x14ac:dyDescent="0.25">
      <c r="A163" s="31"/>
      <c r="C163" s="32" t="s">
        <v>362</v>
      </c>
      <c r="D163" s="32" t="s">
        <v>52</v>
      </c>
      <c r="F163" s="33">
        <v>18.8</v>
      </c>
      <c r="K163" s="34"/>
    </row>
    <row r="164" spans="1:75" x14ac:dyDescent="0.25">
      <c r="A164" s="31"/>
      <c r="C164" s="32" t="s">
        <v>363</v>
      </c>
      <c r="D164" s="32" t="s">
        <v>52</v>
      </c>
      <c r="F164" s="33">
        <v>15.6</v>
      </c>
      <c r="K164" s="34"/>
    </row>
    <row r="165" spans="1:75" ht="13.5" customHeight="1" x14ac:dyDescent="0.25">
      <c r="A165" s="2" t="s">
        <v>364</v>
      </c>
      <c r="B165" s="3" t="s">
        <v>365</v>
      </c>
      <c r="C165" s="83" t="s">
        <v>366</v>
      </c>
      <c r="D165" s="80"/>
      <c r="E165" s="3" t="s">
        <v>148</v>
      </c>
      <c r="F165" s="28">
        <v>50.4</v>
      </c>
      <c r="G165" s="28">
        <v>0</v>
      </c>
      <c r="H165" s="28">
        <f>F165*AO165</f>
        <v>0</v>
      </c>
      <c r="I165" s="28">
        <f>F165*AP165</f>
        <v>0</v>
      </c>
      <c r="J165" s="28">
        <f>F165*G165</f>
        <v>0</v>
      </c>
      <c r="K165" s="29" t="s">
        <v>61</v>
      </c>
      <c r="Z165" s="28">
        <f>IF(AQ165="5",BJ165,0)</f>
        <v>0</v>
      </c>
      <c r="AB165" s="28">
        <f>IF(AQ165="1",BH165,0)</f>
        <v>0</v>
      </c>
      <c r="AC165" s="28">
        <f>IF(AQ165="1",BI165,0)</f>
        <v>0</v>
      </c>
      <c r="AD165" s="28">
        <f>IF(AQ165="7",BH165,0)</f>
        <v>0</v>
      </c>
      <c r="AE165" s="28">
        <f>IF(AQ165="7",BI165,0)</f>
        <v>0</v>
      </c>
      <c r="AF165" s="28">
        <f>IF(AQ165="2",BH165,0)</f>
        <v>0</v>
      </c>
      <c r="AG165" s="28">
        <f>IF(AQ165="2",BI165,0)</f>
        <v>0</v>
      </c>
      <c r="AH165" s="28">
        <f>IF(AQ165="0",BJ165,0)</f>
        <v>0</v>
      </c>
      <c r="AI165" s="10" t="s">
        <v>236</v>
      </c>
      <c r="AJ165" s="28">
        <f>IF(AN165=0,J165,0)</f>
        <v>0</v>
      </c>
      <c r="AK165" s="28">
        <f>IF(AN165=12,J165,0)</f>
        <v>0</v>
      </c>
      <c r="AL165" s="28">
        <f>IF(AN165=21,J165,0)</f>
        <v>0</v>
      </c>
      <c r="AN165" s="28">
        <v>21</v>
      </c>
      <c r="AO165" s="28">
        <f>G165*0</f>
        <v>0</v>
      </c>
      <c r="AP165" s="28">
        <f>G165*(1-0)</f>
        <v>0</v>
      </c>
      <c r="AQ165" s="30" t="s">
        <v>57</v>
      </c>
      <c r="AV165" s="28">
        <f>AW165+AX165</f>
        <v>0</v>
      </c>
      <c r="AW165" s="28">
        <f>F165*AO165</f>
        <v>0</v>
      </c>
      <c r="AX165" s="28">
        <f>F165*AP165</f>
        <v>0</v>
      </c>
      <c r="AY165" s="30" t="s">
        <v>354</v>
      </c>
      <c r="AZ165" s="30" t="s">
        <v>335</v>
      </c>
      <c r="BA165" s="10" t="s">
        <v>242</v>
      </c>
      <c r="BC165" s="28">
        <f>AW165+AX165</f>
        <v>0</v>
      </c>
      <c r="BD165" s="28">
        <f>G165/(100-BE165)*100</f>
        <v>0</v>
      </c>
      <c r="BE165" s="28">
        <v>0</v>
      </c>
      <c r="BF165" s="28">
        <f>165</f>
        <v>165</v>
      </c>
      <c r="BH165" s="28">
        <f>F165*AO165</f>
        <v>0</v>
      </c>
      <c r="BI165" s="28">
        <f>F165*AP165</f>
        <v>0</v>
      </c>
      <c r="BJ165" s="28">
        <f>F165*G165</f>
        <v>0</v>
      </c>
      <c r="BK165" s="28"/>
      <c r="BL165" s="28">
        <v>27</v>
      </c>
      <c r="BW165" s="28">
        <v>21</v>
      </c>
    </row>
    <row r="166" spans="1:75" ht="13.5" customHeight="1" x14ac:dyDescent="0.25">
      <c r="A166" s="2" t="s">
        <v>367</v>
      </c>
      <c r="B166" s="3" t="s">
        <v>368</v>
      </c>
      <c r="C166" s="83" t="s">
        <v>369</v>
      </c>
      <c r="D166" s="80"/>
      <c r="E166" s="3" t="s">
        <v>71</v>
      </c>
      <c r="F166" s="28">
        <v>1.9292</v>
      </c>
      <c r="G166" s="28">
        <v>0</v>
      </c>
      <c r="H166" s="28">
        <f>F166*AO166</f>
        <v>0</v>
      </c>
      <c r="I166" s="28">
        <f>F166*AP166</f>
        <v>0</v>
      </c>
      <c r="J166" s="28">
        <f>F166*G166</f>
        <v>0</v>
      </c>
      <c r="K166" s="29" t="s">
        <v>61</v>
      </c>
      <c r="Z166" s="28">
        <f>IF(AQ166="5",BJ166,0)</f>
        <v>0</v>
      </c>
      <c r="AB166" s="28">
        <f>IF(AQ166="1",BH166,0)</f>
        <v>0</v>
      </c>
      <c r="AC166" s="28">
        <f>IF(AQ166="1",BI166,0)</f>
        <v>0</v>
      </c>
      <c r="AD166" s="28">
        <f>IF(AQ166="7",BH166,0)</f>
        <v>0</v>
      </c>
      <c r="AE166" s="28">
        <f>IF(AQ166="7",BI166,0)</f>
        <v>0</v>
      </c>
      <c r="AF166" s="28">
        <f>IF(AQ166="2",BH166,0)</f>
        <v>0</v>
      </c>
      <c r="AG166" s="28">
        <f>IF(AQ166="2",BI166,0)</f>
        <v>0</v>
      </c>
      <c r="AH166" s="28">
        <f>IF(AQ166="0",BJ166,0)</f>
        <v>0</v>
      </c>
      <c r="AI166" s="10" t="s">
        <v>236</v>
      </c>
      <c r="AJ166" s="28">
        <f>IF(AN166=0,J166,0)</f>
        <v>0</v>
      </c>
      <c r="AK166" s="28">
        <f>IF(AN166=12,J166,0)</f>
        <v>0</v>
      </c>
      <c r="AL166" s="28">
        <f>IF(AN166=21,J166,0)</f>
        <v>0</v>
      </c>
      <c r="AN166" s="28">
        <v>21</v>
      </c>
      <c r="AO166" s="28">
        <f>G166*0.77841905</f>
        <v>0</v>
      </c>
      <c r="AP166" s="28">
        <f>G166*(1-0.77841905)</f>
        <v>0</v>
      </c>
      <c r="AQ166" s="30" t="s">
        <v>57</v>
      </c>
      <c r="AV166" s="28">
        <f>AW166+AX166</f>
        <v>0</v>
      </c>
      <c r="AW166" s="28">
        <f>F166*AO166</f>
        <v>0</v>
      </c>
      <c r="AX166" s="28">
        <f>F166*AP166</f>
        <v>0</v>
      </c>
      <c r="AY166" s="30" t="s">
        <v>354</v>
      </c>
      <c r="AZ166" s="30" t="s">
        <v>335</v>
      </c>
      <c r="BA166" s="10" t="s">
        <v>242</v>
      </c>
      <c r="BC166" s="28">
        <f>AW166+AX166</f>
        <v>0</v>
      </c>
      <c r="BD166" s="28">
        <f>G166/(100-BE166)*100</f>
        <v>0</v>
      </c>
      <c r="BE166" s="28">
        <v>0</v>
      </c>
      <c r="BF166" s="28">
        <f>166</f>
        <v>166</v>
      </c>
      <c r="BH166" s="28">
        <f>F166*AO166</f>
        <v>0</v>
      </c>
      <c r="BI166" s="28">
        <f>F166*AP166</f>
        <v>0</v>
      </c>
      <c r="BJ166" s="28">
        <f>F166*G166</f>
        <v>0</v>
      </c>
      <c r="BK166" s="28"/>
      <c r="BL166" s="28">
        <v>27</v>
      </c>
      <c r="BW166" s="28">
        <v>21</v>
      </c>
    </row>
    <row r="167" spans="1:75" x14ac:dyDescent="0.25">
      <c r="A167" s="31"/>
      <c r="C167" s="32" t="s">
        <v>370</v>
      </c>
      <c r="D167" s="32" t="s">
        <v>371</v>
      </c>
      <c r="F167" s="33">
        <v>1.9292</v>
      </c>
      <c r="K167" s="34"/>
    </row>
    <row r="168" spans="1:75" ht="13.5" customHeight="1" x14ac:dyDescent="0.25">
      <c r="A168" s="2" t="s">
        <v>372</v>
      </c>
      <c r="B168" s="3" t="s">
        <v>373</v>
      </c>
      <c r="C168" s="83" t="s">
        <v>374</v>
      </c>
      <c r="D168" s="80"/>
      <c r="E168" s="3" t="s">
        <v>148</v>
      </c>
      <c r="F168" s="28">
        <v>29.68</v>
      </c>
      <c r="G168" s="28">
        <v>0</v>
      </c>
      <c r="H168" s="28">
        <f>F168*AO168</f>
        <v>0</v>
      </c>
      <c r="I168" s="28">
        <f>F168*AP168</f>
        <v>0</v>
      </c>
      <c r="J168" s="28">
        <f>F168*G168</f>
        <v>0</v>
      </c>
      <c r="K168" s="29" t="s">
        <v>61</v>
      </c>
      <c r="Z168" s="28">
        <f>IF(AQ168="5",BJ168,0)</f>
        <v>0</v>
      </c>
      <c r="AB168" s="28">
        <f>IF(AQ168="1",BH168,0)</f>
        <v>0</v>
      </c>
      <c r="AC168" s="28">
        <f>IF(AQ168="1",BI168,0)</f>
        <v>0</v>
      </c>
      <c r="AD168" s="28">
        <f>IF(AQ168="7",BH168,0)</f>
        <v>0</v>
      </c>
      <c r="AE168" s="28">
        <f>IF(AQ168="7",BI168,0)</f>
        <v>0</v>
      </c>
      <c r="AF168" s="28">
        <f>IF(AQ168="2",BH168,0)</f>
        <v>0</v>
      </c>
      <c r="AG168" s="28">
        <f>IF(AQ168="2",BI168,0)</f>
        <v>0</v>
      </c>
      <c r="AH168" s="28">
        <f>IF(AQ168="0",BJ168,0)</f>
        <v>0</v>
      </c>
      <c r="AI168" s="10" t="s">
        <v>236</v>
      </c>
      <c r="AJ168" s="28">
        <f>IF(AN168=0,J168,0)</f>
        <v>0</v>
      </c>
      <c r="AK168" s="28">
        <f>IF(AN168=12,J168,0)</f>
        <v>0</v>
      </c>
      <c r="AL168" s="28">
        <f>IF(AN168=21,J168,0)</f>
        <v>0</v>
      </c>
      <c r="AN168" s="28">
        <v>21</v>
      </c>
      <c r="AO168" s="28">
        <f>G168*0.477866848</f>
        <v>0</v>
      </c>
      <c r="AP168" s="28">
        <f>G168*(1-0.477866848)</f>
        <v>0</v>
      </c>
      <c r="AQ168" s="30" t="s">
        <v>57</v>
      </c>
      <c r="AV168" s="28">
        <f>AW168+AX168</f>
        <v>0</v>
      </c>
      <c r="AW168" s="28">
        <f>F168*AO168</f>
        <v>0</v>
      </c>
      <c r="AX168" s="28">
        <f>F168*AP168</f>
        <v>0</v>
      </c>
      <c r="AY168" s="30" t="s">
        <v>354</v>
      </c>
      <c r="AZ168" s="30" t="s">
        <v>335</v>
      </c>
      <c r="BA168" s="10" t="s">
        <v>242</v>
      </c>
      <c r="BC168" s="28">
        <f>AW168+AX168</f>
        <v>0</v>
      </c>
      <c r="BD168" s="28">
        <f>G168/(100-BE168)*100</f>
        <v>0</v>
      </c>
      <c r="BE168" s="28">
        <v>0</v>
      </c>
      <c r="BF168" s="28">
        <f>168</f>
        <v>168</v>
      </c>
      <c r="BH168" s="28">
        <f>F168*AO168</f>
        <v>0</v>
      </c>
      <c r="BI168" s="28">
        <f>F168*AP168</f>
        <v>0</v>
      </c>
      <c r="BJ168" s="28">
        <f>F168*G168</f>
        <v>0</v>
      </c>
      <c r="BK168" s="28"/>
      <c r="BL168" s="28">
        <v>27</v>
      </c>
      <c r="BW168" s="28">
        <v>21</v>
      </c>
    </row>
    <row r="169" spans="1:75" x14ac:dyDescent="0.25">
      <c r="A169" s="31"/>
      <c r="C169" s="32" t="s">
        <v>375</v>
      </c>
      <c r="D169" s="32" t="s">
        <v>249</v>
      </c>
      <c r="F169" s="33">
        <v>7.84</v>
      </c>
      <c r="K169" s="34"/>
    </row>
    <row r="170" spans="1:75" x14ac:dyDescent="0.25">
      <c r="A170" s="31"/>
      <c r="C170" s="32" t="s">
        <v>376</v>
      </c>
      <c r="D170" s="32" t="s">
        <v>52</v>
      </c>
      <c r="F170" s="33">
        <v>2.64</v>
      </c>
      <c r="K170" s="34"/>
    </row>
    <row r="171" spans="1:75" x14ac:dyDescent="0.25">
      <c r="A171" s="31"/>
      <c r="C171" s="32" t="s">
        <v>377</v>
      </c>
      <c r="D171" s="32" t="s">
        <v>52</v>
      </c>
      <c r="F171" s="33">
        <v>16.8</v>
      </c>
      <c r="K171" s="34"/>
    </row>
    <row r="172" spans="1:75" x14ac:dyDescent="0.25">
      <c r="A172" s="31"/>
      <c r="C172" s="32" t="s">
        <v>378</v>
      </c>
      <c r="D172" s="32" t="s">
        <v>379</v>
      </c>
      <c r="F172" s="33">
        <v>2.4</v>
      </c>
      <c r="K172" s="34"/>
    </row>
    <row r="173" spans="1:75" ht="13.5" customHeight="1" x14ac:dyDescent="0.25">
      <c r="A173" s="2" t="s">
        <v>380</v>
      </c>
      <c r="B173" s="3" t="s">
        <v>381</v>
      </c>
      <c r="C173" s="83" t="s">
        <v>382</v>
      </c>
      <c r="D173" s="80"/>
      <c r="E173" s="3" t="s">
        <v>60</v>
      </c>
      <c r="F173" s="28">
        <v>19.829999999999998</v>
      </c>
      <c r="G173" s="28">
        <v>0</v>
      </c>
      <c r="H173" s="28">
        <f>F173*AO173</f>
        <v>0</v>
      </c>
      <c r="I173" s="28">
        <f>F173*AP173</f>
        <v>0</v>
      </c>
      <c r="J173" s="28">
        <f>F173*G173</f>
        <v>0</v>
      </c>
      <c r="K173" s="29" t="s">
        <v>61</v>
      </c>
      <c r="Z173" s="28">
        <f>IF(AQ173="5",BJ173,0)</f>
        <v>0</v>
      </c>
      <c r="AB173" s="28">
        <f>IF(AQ173="1",BH173,0)</f>
        <v>0</v>
      </c>
      <c r="AC173" s="28">
        <f>IF(AQ173="1",BI173,0)</f>
        <v>0</v>
      </c>
      <c r="AD173" s="28">
        <f>IF(AQ173="7",BH173,0)</f>
        <v>0</v>
      </c>
      <c r="AE173" s="28">
        <f>IF(AQ173="7",BI173,0)</f>
        <v>0</v>
      </c>
      <c r="AF173" s="28">
        <f>IF(AQ173="2",BH173,0)</f>
        <v>0</v>
      </c>
      <c r="AG173" s="28">
        <f>IF(AQ173="2",BI173,0)</f>
        <v>0</v>
      </c>
      <c r="AH173" s="28">
        <f>IF(AQ173="0",BJ173,0)</f>
        <v>0</v>
      </c>
      <c r="AI173" s="10" t="s">
        <v>236</v>
      </c>
      <c r="AJ173" s="28">
        <f>IF(AN173=0,J173,0)</f>
        <v>0</v>
      </c>
      <c r="AK173" s="28">
        <f>IF(AN173=12,J173,0)</f>
        <v>0</v>
      </c>
      <c r="AL173" s="28">
        <f>IF(AN173=21,J173,0)</f>
        <v>0</v>
      </c>
      <c r="AN173" s="28">
        <v>21</v>
      </c>
      <c r="AO173" s="28">
        <f>G173*0.921287105</f>
        <v>0</v>
      </c>
      <c r="AP173" s="28">
        <f>G173*(1-0.921287105)</f>
        <v>0</v>
      </c>
      <c r="AQ173" s="30" t="s">
        <v>57</v>
      </c>
      <c r="AV173" s="28">
        <f>AW173+AX173</f>
        <v>0</v>
      </c>
      <c r="AW173" s="28">
        <f>F173*AO173</f>
        <v>0</v>
      </c>
      <c r="AX173" s="28">
        <f>F173*AP173</f>
        <v>0</v>
      </c>
      <c r="AY173" s="30" t="s">
        <v>354</v>
      </c>
      <c r="AZ173" s="30" t="s">
        <v>335</v>
      </c>
      <c r="BA173" s="10" t="s">
        <v>242</v>
      </c>
      <c r="BC173" s="28">
        <f>AW173+AX173</f>
        <v>0</v>
      </c>
      <c r="BD173" s="28">
        <f>G173/(100-BE173)*100</f>
        <v>0</v>
      </c>
      <c r="BE173" s="28">
        <v>0</v>
      </c>
      <c r="BF173" s="28">
        <f>173</f>
        <v>173</v>
      </c>
      <c r="BH173" s="28">
        <f>F173*AO173</f>
        <v>0</v>
      </c>
      <c r="BI173" s="28">
        <f>F173*AP173</f>
        <v>0</v>
      </c>
      <c r="BJ173" s="28">
        <f>F173*G173</f>
        <v>0</v>
      </c>
      <c r="BK173" s="28"/>
      <c r="BL173" s="28">
        <v>27</v>
      </c>
      <c r="BW173" s="28">
        <v>21</v>
      </c>
    </row>
    <row r="174" spans="1:75" x14ac:dyDescent="0.25">
      <c r="A174" s="31"/>
      <c r="C174" s="32" t="s">
        <v>383</v>
      </c>
      <c r="D174" s="32" t="s">
        <v>253</v>
      </c>
      <c r="F174" s="33">
        <v>2.1</v>
      </c>
      <c r="K174" s="34"/>
    </row>
    <row r="175" spans="1:75" x14ac:dyDescent="0.25">
      <c r="A175" s="31"/>
      <c r="C175" s="32" t="s">
        <v>384</v>
      </c>
      <c r="D175" s="32" t="s">
        <v>52</v>
      </c>
      <c r="F175" s="33">
        <v>2.16</v>
      </c>
      <c r="K175" s="34"/>
    </row>
    <row r="176" spans="1:75" x14ac:dyDescent="0.25">
      <c r="A176" s="31"/>
      <c r="C176" s="32" t="s">
        <v>385</v>
      </c>
      <c r="D176" s="32" t="s">
        <v>52</v>
      </c>
      <c r="F176" s="33">
        <v>0.30599999999999999</v>
      </c>
      <c r="K176" s="34"/>
    </row>
    <row r="177" spans="1:75" x14ac:dyDescent="0.25">
      <c r="A177" s="31"/>
      <c r="C177" s="32" t="s">
        <v>386</v>
      </c>
      <c r="D177" s="32" t="s">
        <v>52</v>
      </c>
      <c r="F177" s="33">
        <v>1.1879999999999999</v>
      </c>
      <c r="K177" s="34"/>
    </row>
    <row r="178" spans="1:75" x14ac:dyDescent="0.25">
      <c r="A178" s="31"/>
      <c r="C178" s="32" t="s">
        <v>387</v>
      </c>
      <c r="D178" s="32" t="s">
        <v>52</v>
      </c>
      <c r="F178" s="33">
        <v>0.68400000000000005</v>
      </c>
      <c r="K178" s="34"/>
    </row>
    <row r="179" spans="1:75" x14ac:dyDescent="0.25">
      <c r="A179" s="31"/>
      <c r="C179" s="32" t="s">
        <v>388</v>
      </c>
      <c r="D179" s="32" t="s">
        <v>52</v>
      </c>
      <c r="F179" s="33">
        <v>2.52</v>
      </c>
      <c r="K179" s="34"/>
    </row>
    <row r="180" spans="1:75" x14ac:dyDescent="0.25">
      <c r="A180" s="31"/>
      <c r="C180" s="32" t="s">
        <v>389</v>
      </c>
      <c r="D180" s="32" t="s">
        <v>52</v>
      </c>
      <c r="F180" s="33">
        <v>0.86399999999999999</v>
      </c>
      <c r="K180" s="34"/>
    </row>
    <row r="181" spans="1:75" x14ac:dyDescent="0.25">
      <c r="A181" s="31"/>
      <c r="C181" s="32" t="s">
        <v>390</v>
      </c>
      <c r="D181" s="32" t="s">
        <v>52</v>
      </c>
      <c r="F181" s="33">
        <v>2.5920000000000001</v>
      </c>
      <c r="K181" s="34"/>
    </row>
    <row r="182" spans="1:75" x14ac:dyDescent="0.25">
      <c r="A182" s="31"/>
      <c r="C182" s="32" t="s">
        <v>391</v>
      </c>
      <c r="D182" s="32" t="s">
        <v>52</v>
      </c>
      <c r="F182" s="33">
        <v>0.504</v>
      </c>
      <c r="K182" s="34"/>
    </row>
    <row r="183" spans="1:75" x14ac:dyDescent="0.25">
      <c r="A183" s="31"/>
      <c r="C183" s="32" t="s">
        <v>392</v>
      </c>
      <c r="D183" s="32" t="s">
        <v>52</v>
      </c>
      <c r="F183" s="33">
        <v>6.9119999999999999</v>
      </c>
      <c r="K183" s="34"/>
    </row>
    <row r="184" spans="1:75" ht="13.5" customHeight="1" x14ac:dyDescent="0.25">
      <c r="A184" s="2" t="s">
        <v>393</v>
      </c>
      <c r="B184" s="3" t="s">
        <v>394</v>
      </c>
      <c r="C184" s="83" t="s">
        <v>395</v>
      </c>
      <c r="D184" s="80"/>
      <c r="E184" s="3" t="s">
        <v>148</v>
      </c>
      <c r="F184" s="28">
        <v>145.72</v>
      </c>
      <c r="G184" s="28">
        <v>0</v>
      </c>
      <c r="H184" s="28">
        <f>F184*AO184</f>
        <v>0</v>
      </c>
      <c r="I184" s="28">
        <f>F184*AP184</f>
        <v>0</v>
      </c>
      <c r="J184" s="28">
        <f>F184*G184</f>
        <v>0</v>
      </c>
      <c r="K184" s="29" t="s">
        <v>61</v>
      </c>
      <c r="Z184" s="28">
        <f>IF(AQ184="5",BJ184,0)</f>
        <v>0</v>
      </c>
      <c r="AB184" s="28">
        <f>IF(AQ184="1",BH184,0)</f>
        <v>0</v>
      </c>
      <c r="AC184" s="28">
        <f>IF(AQ184="1",BI184,0)</f>
        <v>0</v>
      </c>
      <c r="AD184" s="28">
        <f>IF(AQ184="7",BH184,0)</f>
        <v>0</v>
      </c>
      <c r="AE184" s="28">
        <f>IF(AQ184="7",BI184,0)</f>
        <v>0</v>
      </c>
      <c r="AF184" s="28">
        <f>IF(AQ184="2",BH184,0)</f>
        <v>0</v>
      </c>
      <c r="AG184" s="28">
        <f>IF(AQ184="2",BI184,0)</f>
        <v>0</v>
      </c>
      <c r="AH184" s="28">
        <f>IF(AQ184="0",BJ184,0)</f>
        <v>0</v>
      </c>
      <c r="AI184" s="10" t="s">
        <v>236</v>
      </c>
      <c r="AJ184" s="28">
        <f>IF(AN184=0,J184,0)</f>
        <v>0</v>
      </c>
      <c r="AK184" s="28">
        <f>IF(AN184=12,J184,0)</f>
        <v>0</v>
      </c>
      <c r="AL184" s="28">
        <f>IF(AN184=21,J184,0)</f>
        <v>0</v>
      </c>
      <c r="AN184" s="28">
        <v>21</v>
      </c>
      <c r="AO184" s="28">
        <f>G184*0.030069832</f>
        <v>0</v>
      </c>
      <c r="AP184" s="28">
        <f>G184*(1-0.030069832)</f>
        <v>0</v>
      </c>
      <c r="AQ184" s="30" t="s">
        <v>57</v>
      </c>
      <c r="AV184" s="28">
        <f>AW184+AX184</f>
        <v>0</v>
      </c>
      <c r="AW184" s="28">
        <f>F184*AO184</f>
        <v>0</v>
      </c>
      <c r="AX184" s="28">
        <f>F184*AP184</f>
        <v>0</v>
      </c>
      <c r="AY184" s="30" t="s">
        <v>354</v>
      </c>
      <c r="AZ184" s="30" t="s">
        <v>335</v>
      </c>
      <c r="BA184" s="10" t="s">
        <v>242</v>
      </c>
      <c r="BC184" s="28">
        <f>AW184+AX184</f>
        <v>0</v>
      </c>
      <c r="BD184" s="28">
        <f>G184/(100-BE184)*100</f>
        <v>0</v>
      </c>
      <c r="BE184" s="28">
        <v>0</v>
      </c>
      <c r="BF184" s="28">
        <f>184</f>
        <v>184</v>
      </c>
      <c r="BH184" s="28">
        <f>F184*AO184</f>
        <v>0</v>
      </c>
      <c r="BI184" s="28">
        <f>F184*AP184</f>
        <v>0</v>
      </c>
      <c r="BJ184" s="28">
        <f>F184*G184</f>
        <v>0</v>
      </c>
      <c r="BK184" s="28"/>
      <c r="BL184" s="28">
        <v>27</v>
      </c>
      <c r="BW184" s="28">
        <v>21</v>
      </c>
    </row>
    <row r="185" spans="1:75" x14ac:dyDescent="0.25">
      <c r="A185" s="31"/>
      <c r="C185" s="32" t="s">
        <v>396</v>
      </c>
      <c r="D185" s="32" t="s">
        <v>253</v>
      </c>
      <c r="F185" s="33">
        <v>11.2</v>
      </c>
      <c r="K185" s="34"/>
    </row>
    <row r="186" spans="1:75" x14ac:dyDescent="0.25">
      <c r="A186" s="31"/>
      <c r="C186" s="32" t="s">
        <v>397</v>
      </c>
      <c r="D186" s="32" t="s">
        <v>52</v>
      </c>
      <c r="F186" s="33">
        <v>11.52</v>
      </c>
      <c r="K186" s="34"/>
    </row>
    <row r="187" spans="1:75" x14ac:dyDescent="0.25">
      <c r="A187" s="31"/>
      <c r="C187" s="32" t="s">
        <v>398</v>
      </c>
      <c r="D187" s="32" t="s">
        <v>52</v>
      </c>
      <c r="F187" s="33">
        <v>2.72</v>
      </c>
      <c r="K187" s="34"/>
    </row>
    <row r="188" spans="1:75" x14ac:dyDescent="0.25">
      <c r="A188" s="31"/>
      <c r="C188" s="32" t="s">
        <v>399</v>
      </c>
      <c r="D188" s="32" t="s">
        <v>52</v>
      </c>
      <c r="F188" s="33">
        <v>10.56</v>
      </c>
      <c r="K188" s="34"/>
    </row>
    <row r="189" spans="1:75" x14ac:dyDescent="0.25">
      <c r="A189" s="31"/>
      <c r="C189" s="32" t="s">
        <v>400</v>
      </c>
      <c r="D189" s="32" t="s">
        <v>52</v>
      </c>
      <c r="F189" s="33">
        <v>6.08</v>
      </c>
      <c r="K189" s="34"/>
    </row>
    <row r="190" spans="1:75" x14ac:dyDescent="0.25">
      <c r="A190" s="31"/>
      <c r="C190" s="32" t="s">
        <v>401</v>
      </c>
      <c r="D190" s="32" t="s">
        <v>52</v>
      </c>
      <c r="F190" s="33">
        <v>22.4</v>
      </c>
      <c r="K190" s="34"/>
    </row>
    <row r="191" spans="1:75" x14ac:dyDescent="0.25">
      <c r="A191" s="31"/>
      <c r="C191" s="32" t="s">
        <v>402</v>
      </c>
      <c r="D191" s="32" t="s">
        <v>52</v>
      </c>
      <c r="F191" s="33">
        <v>7.68</v>
      </c>
      <c r="K191" s="34"/>
    </row>
    <row r="192" spans="1:75" x14ac:dyDescent="0.25">
      <c r="A192" s="31"/>
      <c r="C192" s="32" t="s">
        <v>397</v>
      </c>
      <c r="D192" s="32" t="s">
        <v>52</v>
      </c>
      <c r="F192" s="33">
        <v>11.52</v>
      </c>
      <c r="K192" s="34"/>
    </row>
    <row r="193" spans="1:75" x14ac:dyDescent="0.25">
      <c r="A193" s="31"/>
      <c r="C193" s="32" t="s">
        <v>403</v>
      </c>
      <c r="D193" s="32" t="s">
        <v>52</v>
      </c>
      <c r="F193" s="33">
        <v>6.72</v>
      </c>
      <c r="K193" s="34"/>
    </row>
    <row r="194" spans="1:75" x14ac:dyDescent="0.25">
      <c r="A194" s="31"/>
      <c r="C194" s="32" t="s">
        <v>404</v>
      </c>
      <c r="D194" s="32" t="s">
        <v>52</v>
      </c>
      <c r="F194" s="33">
        <v>30.72</v>
      </c>
      <c r="K194" s="34"/>
    </row>
    <row r="195" spans="1:75" x14ac:dyDescent="0.25">
      <c r="A195" s="31"/>
      <c r="C195" s="32" t="s">
        <v>405</v>
      </c>
      <c r="D195" s="32" t="s">
        <v>406</v>
      </c>
      <c r="F195" s="33">
        <v>24.6</v>
      </c>
      <c r="K195" s="34"/>
    </row>
    <row r="196" spans="1:75" ht="13.5" customHeight="1" x14ac:dyDescent="0.25">
      <c r="A196" s="2" t="s">
        <v>407</v>
      </c>
      <c r="B196" s="3" t="s">
        <v>408</v>
      </c>
      <c r="C196" s="83" t="s">
        <v>409</v>
      </c>
      <c r="D196" s="80"/>
      <c r="E196" s="3" t="s">
        <v>148</v>
      </c>
      <c r="F196" s="28">
        <v>145.72</v>
      </c>
      <c r="G196" s="28">
        <v>0</v>
      </c>
      <c r="H196" s="28">
        <f>F196*AO196</f>
        <v>0</v>
      </c>
      <c r="I196" s="28">
        <f>F196*AP196</f>
        <v>0</v>
      </c>
      <c r="J196" s="28">
        <f>F196*G196</f>
        <v>0</v>
      </c>
      <c r="K196" s="29" t="s">
        <v>61</v>
      </c>
      <c r="Z196" s="28">
        <f>IF(AQ196="5",BJ196,0)</f>
        <v>0</v>
      </c>
      <c r="AB196" s="28">
        <f>IF(AQ196="1",BH196,0)</f>
        <v>0</v>
      </c>
      <c r="AC196" s="28">
        <f>IF(AQ196="1",BI196,0)</f>
        <v>0</v>
      </c>
      <c r="AD196" s="28">
        <f>IF(AQ196="7",BH196,0)</f>
        <v>0</v>
      </c>
      <c r="AE196" s="28">
        <f>IF(AQ196="7",BI196,0)</f>
        <v>0</v>
      </c>
      <c r="AF196" s="28">
        <f>IF(AQ196="2",BH196,0)</f>
        <v>0</v>
      </c>
      <c r="AG196" s="28">
        <f>IF(AQ196="2",BI196,0)</f>
        <v>0</v>
      </c>
      <c r="AH196" s="28">
        <f>IF(AQ196="0",BJ196,0)</f>
        <v>0</v>
      </c>
      <c r="AI196" s="10" t="s">
        <v>236</v>
      </c>
      <c r="AJ196" s="28">
        <f>IF(AN196=0,J196,0)</f>
        <v>0</v>
      </c>
      <c r="AK196" s="28">
        <f>IF(AN196=12,J196,0)</f>
        <v>0</v>
      </c>
      <c r="AL196" s="28">
        <f>IF(AN196=21,J196,0)</f>
        <v>0</v>
      </c>
      <c r="AN196" s="28">
        <v>21</v>
      </c>
      <c r="AO196" s="28">
        <f>G196*0</f>
        <v>0</v>
      </c>
      <c r="AP196" s="28">
        <f>G196*(1-0)</f>
        <v>0</v>
      </c>
      <c r="AQ196" s="30" t="s">
        <v>57</v>
      </c>
      <c r="AV196" s="28">
        <f>AW196+AX196</f>
        <v>0</v>
      </c>
      <c r="AW196" s="28">
        <f>F196*AO196</f>
        <v>0</v>
      </c>
      <c r="AX196" s="28">
        <f>F196*AP196</f>
        <v>0</v>
      </c>
      <c r="AY196" s="30" t="s">
        <v>354</v>
      </c>
      <c r="AZ196" s="30" t="s">
        <v>335</v>
      </c>
      <c r="BA196" s="10" t="s">
        <v>242</v>
      </c>
      <c r="BC196" s="28">
        <f>AW196+AX196</f>
        <v>0</v>
      </c>
      <c r="BD196" s="28">
        <f>G196/(100-BE196)*100</f>
        <v>0</v>
      </c>
      <c r="BE196" s="28">
        <v>0</v>
      </c>
      <c r="BF196" s="28">
        <f>196</f>
        <v>196</v>
      </c>
      <c r="BH196" s="28">
        <f>F196*AO196</f>
        <v>0</v>
      </c>
      <c r="BI196" s="28">
        <f>F196*AP196</f>
        <v>0</v>
      </c>
      <c r="BJ196" s="28">
        <f>F196*G196</f>
        <v>0</v>
      </c>
      <c r="BK196" s="28"/>
      <c r="BL196" s="28">
        <v>27</v>
      </c>
      <c r="BW196" s="28">
        <v>21</v>
      </c>
    </row>
    <row r="197" spans="1:75" ht="13.5" customHeight="1" x14ac:dyDescent="0.25">
      <c r="A197" s="2" t="s">
        <v>410</v>
      </c>
      <c r="B197" s="3" t="s">
        <v>411</v>
      </c>
      <c r="C197" s="83" t="s">
        <v>412</v>
      </c>
      <c r="D197" s="80"/>
      <c r="E197" s="3" t="s">
        <v>71</v>
      </c>
      <c r="F197" s="28">
        <v>3.7359499999999999</v>
      </c>
      <c r="G197" s="28">
        <v>0</v>
      </c>
      <c r="H197" s="28">
        <f>F197*AO197</f>
        <v>0</v>
      </c>
      <c r="I197" s="28">
        <f>F197*AP197</f>
        <v>0</v>
      </c>
      <c r="J197" s="28">
        <f>F197*G197</f>
        <v>0</v>
      </c>
      <c r="K197" s="29" t="s">
        <v>61</v>
      </c>
      <c r="Z197" s="28">
        <f>IF(AQ197="5",BJ197,0)</f>
        <v>0</v>
      </c>
      <c r="AB197" s="28">
        <f>IF(AQ197="1",BH197,0)</f>
        <v>0</v>
      </c>
      <c r="AC197" s="28">
        <f>IF(AQ197="1",BI197,0)</f>
        <v>0</v>
      </c>
      <c r="AD197" s="28">
        <f>IF(AQ197="7",BH197,0)</f>
        <v>0</v>
      </c>
      <c r="AE197" s="28">
        <f>IF(AQ197="7",BI197,0)</f>
        <v>0</v>
      </c>
      <c r="AF197" s="28">
        <f>IF(AQ197="2",BH197,0)</f>
        <v>0</v>
      </c>
      <c r="AG197" s="28">
        <f>IF(AQ197="2",BI197,0)</f>
        <v>0</v>
      </c>
      <c r="AH197" s="28">
        <f>IF(AQ197="0",BJ197,0)</f>
        <v>0</v>
      </c>
      <c r="AI197" s="10" t="s">
        <v>236</v>
      </c>
      <c r="AJ197" s="28">
        <f>IF(AN197=0,J197,0)</f>
        <v>0</v>
      </c>
      <c r="AK197" s="28">
        <f>IF(AN197=12,J197,0)</f>
        <v>0</v>
      </c>
      <c r="AL197" s="28">
        <f>IF(AN197=21,J197,0)</f>
        <v>0</v>
      </c>
      <c r="AN197" s="28">
        <v>21</v>
      </c>
      <c r="AO197" s="28">
        <f>G197*0.752496568</f>
        <v>0</v>
      </c>
      <c r="AP197" s="28">
        <f>G197*(1-0.752496568)</f>
        <v>0</v>
      </c>
      <c r="AQ197" s="30" t="s">
        <v>57</v>
      </c>
      <c r="AV197" s="28">
        <f>AW197+AX197</f>
        <v>0</v>
      </c>
      <c r="AW197" s="28">
        <f>F197*AO197</f>
        <v>0</v>
      </c>
      <c r="AX197" s="28">
        <f>F197*AP197</f>
        <v>0</v>
      </c>
      <c r="AY197" s="30" t="s">
        <v>354</v>
      </c>
      <c r="AZ197" s="30" t="s">
        <v>335</v>
      </c>
      <c r="BA197" s="10" t="s">
        <v>242</v>
      </c>
      <c r="BC197" s="28">
        <f>AW197+AX197</f>
        <v>0</v>
      </c>
      <c r="BD197" s="28">
        <f>G197/(100-BE197)*100</f>
        <v>0</v>
      </c>
      <c r="BE197" s="28">
        <v>0</v>
      </c>
      <c r="BF197" s="28">
        <f>197</f>
        <v>197</v>
      </c>
      <c r="BH197" s="28">
        <f>F197*AO197</f>
        <v>0</v>
      </c>
      <c r="BI197" s="28">
        <f>F197*AP197</f>
        <v>0</v>
      </c>
      <c r="BJ197" s="28">
        <f>F197*G197</f>
        <v>0</v>
      </c>
      <c r="BK197" s="28"/>
      <c r="BL197" s="28">
        <v>27</v>
      </c>
      <c r="BW197" s="28">
        <v>21</v>
      </c>
    </row>
    <row r="198" spans="1:75" x14ac:dyDescent="0.25">
      <c r="A198" s="31"/>
      <c r="C198" s="32" t="s">
        <v>52</v>
      </c>
      <c r="D198" s="32" t="s">
        <v>413</v>
      </c>
      <c r="F198" s="33">
        <v>0</v>
      </c>
      <c r="K198" s="34"/>
    </row>
    <row r="199" spans="1:75" x14ac:dyDescent="0.25">
      <c r="A199" s="31"/>
      <c r="C199" s="32" t="s">
        <v>414</v>
      </c>
      <c r="D199" s="32" t="s">
        <v>415</v>
      </c>
      <c r="F199" s="33">
        <v>0.26455000000000001</v>
      </c>
      <c r="K199" s="34"/>
    </row>
    <row r="200" spans="1:75" x14ac:dyDescent="0.25">
      <c r="A200" s="31"/>
      <c r="C200" s="32" t="s">
        <v>416</v>
      </c>
      <c r="D200" s="32" t="s">
        <v>417</v>
      </c>
      <c r="F200" s="33">
        <v>0.14266999999999999</v>
      </c>
      <c r="K200" s="34"/>
    </row>
    <row r="201" spans="1:75" x14ac:dyDescent="0.25">
      <c r="A201" s="31"/>
      <c r="C201" s="32" t="s">
        <v>418</v>
      </c>
      <c r="D201" s="32" t="s">
        <v>419</v>
      </c>
      <c r="F201" s="33">
        <v>1.6877800000000001</v>
      </c>
      <c r="K201" s="34"/>
    </row>
    <row r="202" spans="1:75" x14ac:dyDescent="0.25">
      <c r="A202" s="31"/>
      <c r="C202" s="32" t="s">
        <v>420</v>
      </c>
      <c r="D202" s="32" t="s">
        <v>421</v>
      </c>
      <c r="F202" s="33">
        <v>0.67552000000000001</v>
      </c>
      <c r="K202" s="34"/>
    </row>
    <row r="203" spans="1:75" x14ac:dyDescent="0.25">
      <c r="A203" s="31"/>
      <c r="C203" s="32" t="s">
        <v>422</v>
      </c>
      <c r="D203" s="32" t="s">
        <v>423</v>
      </c>
      <c r="F203" s="33">
        <v>3.0970000000000001E-2</v>
      </c>
      <c r="K203" s="34"/>
    </row>
    <row r="204" spans="1:75" x14ac:dyDescent="0.25">
      <c r="A204" s="31"/>
      <c r="C204" s="32" t="s">
        <v>424</v>
      </c>
      <c r="D204" s="32" t="s">
        <v>425</v>
      </c>
      <c r="F204" s="33">
        <v>0.29482999999999998</v>
      </c>
      <c r="K204" s="34"/>
    </row>
    <row r="205" spans="1:75" x14ac:dyDescent="0.25">
      <c r="A205" s="31"/>
      <c r="C205" s="32" t="s">
        <v>426</v>
      </c>
      <c r="D205" s="32" t="s">
        <v>427</v>
      </c>
      <c r="F205" s="33">
        <v>0.14934</v>
      </c>
      <c r="K205" s="34"/>
    </row>
    <row r="206" spans="1:75" x14ac:dyDescent="0.25">
      <c r="A206" s="31"/>
      <c r="C206" s="32" t="s">
        <v>428</v>
      </c>
      <c r="D206" s="32" t="s">
        <v>429</v>
      </c>
      <c r="F206" s="33">
        <v>0.1153</v>
      </c>
      <c r="K206" s="34"/>
    </row>
    <row r="207" spans="1:75" x14ac:dyDescent="0.25">
      <c r="A207" s="31"/>
      <c r="C207" s="32" t="s">
        <v>430</v>
      </c>
      <c r="D207" s="32" t="s">
        <v>431</v>
      </c>
      <c r="F207" s="33">
        <v>0.19708999999999999</v>
      </c>
      <c r="K207" s="34"/>
    </row>
    <row r="208" spans="1:75" x14ac:dyDescent="0.25">
      <c r="A208" s="31"/>
      <c r="C208" s="32" t="s">
        <v>432</v>
      </c>
      <c r="D208" s="32" t="s">
        <v>433</v>
      </c>
      <c r="F208" s="33">
        <v>0.1779</v>
      </c>
      <c r="K208" s="34"/>
    </row>
    <row r="209" spans="1:75" ht="13.5" customHeight="1" x14ac:dyDescent="0.25">
      <c r="A209" s="2" t="s">
        <v>434</v>
      </c>
      <c r="B209" s="3" t="s">
        <v>435</v>
      </c>
      <c r="C209" s="83" t="s">
        <v>436</v>
      </c>
      <c r="D209" s="80"/>
      <c r="E209" s="3" t="s">
        <v>60</v>
      </c>
      <c r="F209" s="28">
        <v>20.367000000000001</v>
      </c>
      <c r="G209" s="28">
        <v>0</v>
      </c>
      <c r="H209" s="28">
        <f>F209*AO209</f>
        <v>0</v>
      </c>
      <c r="I209" s="28">
        <f>F209*AP209</f>
        <v>0</v>
      </c>
      <c r="J209" s="28">
        <f>F209*G209</f>
        <v>0</v>
      </c>
      <c r="K209" s="29" t="s">
        <v>61</v>
      </c>
      <c r="Z209" s="28">
        <f>IF(AQ209="5",BJ209,0)</f>
        <v>0</v>
      </c>
      <c r="AB209" s="28">
        <f>IF(AQ209="1",BH209,0)</f>
        <v>0</v>
      </c>
      <c r="AC209" s="28">
        <f>IF(AQ209="1",BI209,0)</f>
        <v>0</v>
      </c>
      <c r="AD209" s="28">
        <f>IF(AQ209="7",BH209,0)</f>
        <v>0</v>
      </c>
      <c r="AE209" s="28">
        <f>IF(AQ209="7",BI209,0)</f>
        <v>0</v>
      </c>
      <c r="AF209" s="28">
        <f>IF(AQ209="2",BH209,0)</f>
        <v>0</v>
      </c>
      <c r="AG209" s="28">
        <f>IF(AQ209="2",BI209,0)</f>
        <v>0</v>
      </c>
      <c r="AH209" s="28">
        <f>IF(AQ209="0",BJ209,0)</f>
        <v>0</v>
      </c>
      <c r="AI209" s="10" t="s">
        <v>236</v>
      </c>
      <c r="AJ209" s="28">
        <f>IF(AN209=0,J209,0)</f>
        <v>0</v>
      </c>
      <c r="AK209" s="28">
        <f>IF(AN209=12,J209,0)</f>
        <v>0</v>
      </c>
      <c r="AL209" s="28">
        <f>IF(AN209=21,J209,0)</f>
        <v>0</v>
      </c>
      <c r="AN209" s="28">
        <v>21</v>
      </c>
      <c r="AO209" s="28">
        <f>G209*0.921287105</f>
        <v>0</v>
      </c>
      <c r="AP209" s="28">
        <f>G209*(1-0.921287105)</f>
        <v>0</v>
      </c>
      <c r="AQ209" s="30" t="s">
        <v>57</v>
      </c>
      <c r="AV209" s="28">
        <f>AW209+AX209</f>
        <v>0</v>
      </c>
      <c r="AW209" s="28">
        <f>F209*AO209</f>
        <v>0</v>
      </c>
      <c r="AX209" s="28">
        <f>F209*AP209</f>
        <v>0</v>
      </c>
      <c r="AY209" s="30" t="s">
        <v>354</v>
      </c>
      <c r="AZ209" s="30" t="s">
        <v>335</v>
      </c>
      <c r="BA209" s="10" t="s">
        <v>242</v>
      </c>
      <c r="BC209" s="28">
        <f>AW209+AX209</f>
        <v>0</v>
      </c>
      <c r="BD209" s="28">
        <f>G209/(100-BE209)*100</f>
        <v>0</v>
      </c>
      <c r="BE209" s="28">
        <v>0</v>
      </c>
      <c r="BF209" s="28">
        <f>209</f>
        <v>209</v>
      </c>
      <c r="BH209" s="28">
        <f>F209*AO209</f>
        <v>0</v>
      </c>
      <c r="BI209" s="28">
        <f>F209*AP209</f>
        <v>0</v>
      </c>
      <c r="BJ209" s="28">
        <f>F209*G209</f>
        <v>0</v>
      </c>
      <c r="BK209" s="28"/>
      <c r="BL209" s="28">
        <v>27</v>
      </c>
      <c r="BW209" s="28">
        <v>21</v>
      </c>
    </row>
    <row r="210" spans="1:75" x14ac:dyDescent="0.25">
      <c r="A210" s="31"/>
      <c r="C210" s="32" t="s">
        <v>437</v>
      </c>
      <c r="D210" s="32" t="s">
        <v>249</v>
      </c>
      <c r="F210" s="33">
        <v>5.6159999999999997</v>
      </c>
      <c r="K210" s="34"/>
    </row>
    <row r="211" spans="1:75" x14ac:dyDescent="0.25">
      <c r="A211" s="31"/>
      <c r="C211" s="32" t="s">
        <v>438</v>
      </c>
      <c r="D211" s="32" t="s">
        <v>52</v>
      </c>
      <c r="F211" s="33">
        <v>1.881</v>
      </c>
      <c r="K211" s="34"/>
    </row>
    <row r="212" spans="1:75" x14ac:dyDescent="0.25">
      <c r="A212" s="31"/>
      <c r="C212" s="32" t="s">
        <v>439</v>
      </c>
      <c r="D212" s="32" t="s">
        <v>52</v>
      </c>
      <c r="F212" s="33">
        <v>12.87</v>
      </c>
      <c r="K212" s="34"/>
    </row>
    <row r="213" spans="1:75" ht="13.5" customHeight="1" x14ac:dyDescent="0.25">
      <c r="A213" s="2" t="s">
        <v>440</v>
      </c>
      <c r="B213" s="3" t="s">
        <v>441</v>
      </c>
      <c r="C213" s="83" t="s">
        <v>442</v>
      </c>
      <c r="D213" s="80"/>
      <c r="E213" s="3" t="s">
        <v>71</v>
      </c>
      <c r="F213" s="28">
        <v>1.45878</v>
      </c>
      <c r="G213" s="28">
        <v>0</v>
      </c>
      <c r="H213" s="28">
        <f>F213*AO213</f>
        <v>0</v>
      </c>
      <c r="I213" s="28">
        <f>F213*AP213</f>
        <v>0</v>
      </c>
      <c r="J213" s="28">
        <f>F213*G213</f>
        <v>0</v>
      </c>
      <c r="K213" s="29" t="s">
        <v>61</v>
      </c>
      <c r="Z213" s="28">
        <f>IF(AQ213="5",BJ213,0)</f>
        <v>0</v>
      </c>
      <c r="AB213" s="28">
        <f>IF(AQ213="1",BH213,0)</f>
        <v>0</v>
      </c>
      <c r="AC213" s="28">
        <f>IF(AQ213="1",BI213,0)</f>
        <v>0</v>
      </c>
      <c r="AD213" s="28">
        <f>IF(AQ213="7",BH213,0)</f>
        <v>0</v>
      </c>
      <c r="AE213" s="28">
        <f>IF(AQ213="7",BI213,0)</f>
        <v>0</v>
      </c>
      <c r="AF213" s="28">
        <f>IF(AQ213="2",BH213,0)</f>
        <v>0</v>
      </c>
      <c r="AG213" s="28">
        <f>IF(AQ213="2",BI213,0)</f>
        <v>0</v>
      </c>
      <c r="AH213" s="28">
        <f>IF(AQ213="0",BJ213,0)</f>
        <v>0</v>
      </c>
      <c r="AI213" s="10" t="s">
        <v>236</v>
      </c>
      <c r="AJ213" s="28">
        <f>IF(AN213=0,J213,0)</f>
        <v>0</v>
      </c>
      <c r="AK213" s="28">
        <f>IF(AN213=12,J213,0)</f>
        <v>0</v>
      </c>
      <c r="AL213" s="28">
        <f>IF(AN213=21,J213,0)</f>
        <v>0</v>
      </c>
      <c r="AN213" s="28">
        <v>21</v>
      </c>
      <c r="AO213" s="28">
        <f>G213*0.757056491</f>
        <v>0</v>
      </c>
      <c r="AP213" s="28">
        <f>G213*(1-0.757056491)</f>
        <v>0</v>
      </c>
      <c r="AQ213" s="30" t="s">
        <v>57</v>
      </c>
      <c r="AV213" s="28">
        <f>AW213+AX213</f>
        <v>0</v>
      </c>
      <c r="AW213" s="28">
        <f>F213*AO213</f>
        <v>0</v>
      </c>
      <c r="AX213" s="28">
        <f>F213*AP213</f>
        <v>0</v>
      </c>
      <c r="AY213" s="30" t="s">
        <v>354</v>
      </c>
      <c r="AZ213" s="30" t="s">
        <v>335</v>
      </c>
      <c r="BA213" s="10" t="s">
        <v>242</v>
      </c>
      <c r="BC213" s="28">
        <f>AW213+AX213</f>
        <v>0</v>
      </c>
      <c r="BD213" s="28">
        <f>G213/(100-BE213)*100</f>
        <v>0</v>
      </c>
      <c r="BE213" s="28">
        <v>0</v>
      </c>
      <c r="BF213" s="28">
        <f>213</f>
        <v>213</v>
      </c>
      <c r="BH213" s="28">
        <f>F213*AO213</f>
        <v>0</v>
      </c>
      <c r="BI213" s="28">
        <f>F213*AP213</f>
        <v>0</v>
      </c>
      <c r="BJ213" s="28">
        <f>F213*G213</f>
        <v>0</v>
      </c>
      <c r="BK213" s="28"/>
      <c r="BL213" s="28">
        <v>27</v>
      </c>
      <c r="BW213" s="28">
        <v>21</v>
      </c>
    </row>
    <row r="214" spans="1:75" x14ac:dyDescent="0.25">
      <c r="A214" s="31"/>
      <c r="C214" s="32" t="s">
        <v>52</v>
      </c>
      <c r="D214" s="32" t="s">
        <v>413</v>
      </c>
      <c r="F214" s="33">
        <v>0</v>
      </c>
      <c r="K214" s="34"/>
    </row>
    <row r="215" spans="1:75" x14ac:dyDescent="0.25">
      <c r="A215" s="31"/>
      <c r="C215" s="32" t="s">
        <v>443</v>
      </c>
      <c r="D215" s="32" t="s">
        <v>444</v>
      </c>
      <c r="F215" s="33">
        <v>0.18925</v>
      </c>
      <c r="K215" s="34"/>
    </row>
    <row r="216" spans="1:75" x14ac:dyDescent="0.25">
      <c r="A216" s="31"/>
      <c r="C216" s="32" t="s">
        <v>445</v>
      </c>
      <c r="D216" s="32" t="s">
        <v>446</v>
      </c>
      <c r="F216" s="33">
        <v>0.11366</v>
      </c>
      <c r="K216" s="34"/>
    </row>
    <row r="217" spans="1:75" x14ac:dyDescent="0.25">
      <c r="A217" s="31"/>
      <c r="C217" s="32" t="s">
        <v>447</v>
      </c>
      <c r="D217" s="32" t="s">
        <v>448</v>
      </c>
      <c r="F217" s="33">
        <v>0.18754999999999999</v>
      </c>
      <c r="K217" s="34"/>
    </row>
    <row r="218" spans="1:75" x14ac:dyDescent="0.25">
      <c r="A218" s="31"/>
      <c r="C218" s="32" t="s">
        <v>449</v>
      </c>
      <c r="D218" s="32" t="s">
        <v>450</v>
      </c>
      <c r="F218" s="33">
        <v>0.20388000000000001</v>
      </c>
      <c r="K218" s="34"/>
    </row>
    <row r="219" spans="1:75" x14ac:dyDescent="0.25">
      <c r="A219" s="31"/>
      <c r="C219" s="32" t="s">
        <v>451</v>
      </c>
      <c r="D219" s="32" t="s">
        <v>452</v>
      </c>
      <c r="F219" s="33">
        <v>9.3770000000000006E-2</v>
      </c>
      <c r="K219" s="34"/>
    </row>
    <row r="220" spans="1:75" x14ac:dyDescent="0.25">
      <c r="A220" s="31"/>
      <c r="C220" s="32" t="s">
        <v>453</v>
      </c>
      <c r="D220" s="32" t="s">
        <v>454</v>
      </c>
      <c r="F220" s="33">
        <v>0.50438000000000005</v>
      </c>
      <c r="K220" s="34"/>
    </row>
    <row r="221" spans="1:75" x14ac:dyDescent="0.25">
      <c r="A221" s="31"/>
      <c r="C221" s="32" t="s">
        <v>455</v>
      </c>
      <c r="D221" s="32" t="s">
        <v>456</v>
      </c>
      <c r="F221" s="33">
        <v>9.7290000000000001E-2</v>
      </c>
      <c r="K221" s="34"/>
    </row>
    <row r="222" spans="1:75" x14ac:dyDescent="0.25">
      <c r="A222" s="31"/>
      <c r="C222" s="32" t="s">
        <v>457</v>
      </c>
      <c r="D222" s="32" t="s">
        <v>433</v>
      </c>
      <c r="F222" s="33">
        <v>6.9000000000000006E-2</v>
      </c>
      <c r="K222" s="34"/>
    </row>
    <row r="223" spans="1:75" ht="13.5" customHeight="1" x14ac:dyDescent="0.25">
      <c r="A223" s="2" t="s">
        <v>458</v>
      </c>
      <c r="B223" s="3" t="s">
        <v>459</v>
      </c>
      <c r="C223" s="83" t="s">
        <v>460</v>
      </c>
      <c r="D223" s="80"/>
      <c r="E223" s="3" t="s">
        <v>148</v>
      </c>
      <c r="F223" s="28">
        <v>28.4</v>
      </c>
      <c r="G223" s="28">
        <v>0</v>
      </c>
      <c r="H223" s="28">
        <f>F223*AO223</f>
        <v>0</v>
      </c>
      <c r="I223" s="28">
        <f>F223*AP223</f>
        <v>0</v>
      </c>
      <c r="J223" s="28">
        <f>F223*G223</f>
        <v>0</v>
      </c>
      <c r="K223" s="29" t="s">
        <v>61</v>
      </c>
      <c r="Z223" s="28">
        <f>IF(AQ223="5",BJ223,0)</f>
        <v>0</v>
      </c>
      <c r="AB223" s="28">
        <f>IF(AQ223="1",BH223,0)</f>
        <v>0</v>
      </c>
      <c r="AC223" s="28">
        <f>IF(AQ223="1",BI223,0)</f>
        <v>0</v>
      </c>
      <c r="AD223" s="28">
        <f>IF(AQ223="7",BH223,0)</f>
        <v>0</v>
      </c>
      <c r="AE223" s="28">
        <f>IF(AQ223="7",BI223,0)</f>
        <v>0</v>
      </c>
      <c r="AF223" s="28">
        <f>IF(AQ223="2",BH223,0)</f>
        <v>0</v>
      </c>
      <c r="AG223" s="28">
        <f>IF(AQ223="2",BI223,0)</f>
        <v>0</v>
      </c>
      <c r="AH223" s="28">
        <f>IF(AQ223="0",BJ223,0)</f>
        <v>0</v>
      </c>
      <c r="AI223" s="10" t="s">
        <v>236</v>
      </c>
      <c r="AJ223" s="28">
        <f>IF(AN223=0,J223,0)</f>
        <v>0</v>
      </c>
      <c r="AK223" s="28">
        <f>IF(AN223=12,J223,0)</f>
        <v>0</v>
      </c>
      <c r="AL223" s="28">
        <f>IF(AN223=21,J223,0)</f>
        <v>0</v>
      </c>
      <c r="AN223" s="28">
        <v>21</v>
      </c>
      <c r="AO223" s="28">
        <f>G223*0.340205479</f>
        <v>0</v>
      </c>
      <c r="AP223" s="28">
        <f>G223*(1-0.340205479)</f>
        <v>0</v>
      </c>
      <c r="AQ223" s="30" t="s">
        <v>57</v>
      </c>
      <c r="AV223" s="28">
        <f>AW223+AX223</f>
        <v>0</v>
      </c>
      <c r="AW223" s="28">
        <f>F223*AO223</f>
        <v>0</v>
      </c>
      <c r="AX223" s="28">
        <f>F223*AP223</f>
        <v>0</v>
      </c>
      <c r="AY223" s="30" t="s">
        <v>354</v>
      </c>
      <c r="AZ223" s="30" t="s">
        <v>335</v>
      </c>
      <c r="BA223" s="10" t="s">
        <v>242</v>
      </c>
      <c r="BC223" s="28">
        <f>AW223+AX223</f>
        <v>0</v>
      </c>
      <c r="BD223" s="28">
        <f>G223/(100-BE223)*100</f>
        <v>0</v>
      </c>
      <c r="BE223" s="28">
        <v>0</v>
      </c>
      <c r="BF223" s="28">
        <f>223</f>
        <v>223</v>
      </c>
      <c r="BH223" s="28">
        <f>F223*AO223</f>
        <v>0</v>
      </c>
      <c r="BI223" s="28">
        <f>F223*AP223</f>
        <v>0</v>
      </c>
      <c r="BJ223" s="28">
        <f>F223*G223</f>
        <v>0</v>
      </c>
      <c r="BK223" s="28"/>
      <c r="BL223" s="28">
        <v>27</v>
      </c>
      <c r="BW223" s="28">
        <v>21</v>
      </c>
    </row>
    <row r="224" spans="1:75" x14ac:dyDescent="0.25">
      <c r="A224" s="31"/>
      <c r="C224" s="32" t="s">
        <v>461</v>
      </c>
      <c r="D224" s="32" t="s">
        <v>462</v>
      </c>
      <c r="F224" s="33">
        <v>0</v>
      </c>
      <c r="K224" s="34"/>
    </row>
    <row r="225" spans="1:75" x14ac:dyDescent="0.25">
      <c r="A225" s="31"/>
      <c r="C225" s="32" t="s">
        <v>463</v>
      </c>
      <c r="D225" s="32" t="s">
        <v>52</v>
      </c>
      <c r="F225" s="33">
        <v>0</v>
      </c>
      <c r="K225" s="34"/>
    </row>
    <row r="226" spans="1:75" x14ac:dyDescent="0.25">
      <c r="A226" s="31"/>
      <c r="C226" s="32" t="s">
        <v>464</v>
      </c>
      <c r="D226" s="32" t="s">
        <v>52</v>
      </c>
      <c r="F226" s="33">
        <v>28.4</v>
      </c>
      <c r="K226" s="34"/>
    </row>
    <row r="227" spans="1:75" ht="13.5" customHeight="1" x14ac:dyDescent="0.25">
      <c r="A227" s="2" t="s">
        <v>465</v>
      </c>
      <c r="B227" s="3" t="s">
        <v>466</v>
      </c>
      <c r="C227" s="83" t="s">
        <v>467</v>
      </c>
      <c r="D227" s="80"/>
      <c r="E227" s="3" t="s">
        <v>148</v>
      </c>
      <c r="F227" s="28">
        <v>28.4</v>
      </c>
      <c r="G227" s="28">
        <v>0</v>
      </c>
      <c r="H227" s="28">
        <f>F227*AO227</f>
        <v>0</v>
      </c>
      <c r="I227" s="28">
        <f>F227*AP227</f>
        <v>0</v>
      </c>
      <c r="J227" s="28">
        <f>F227*G227</f>
        <v>0</v>
      </c>
      <c r="K227" s="29" t="s">
        <v>61</v>
      </c>
      <c r="Z227" s="28">
        <f>IF(AQ227="5",BJ227,0)</f>
        <v>0</v>
      </c>
      <c r="AB227" s="28">
        <f>IF(AQ227="1",BH227,0)</f>
        <v>0</v>
      </c>
      <c r="AC227" s="28">
        <f>IF(AQ227="1",BI227,0)</f>
        <v>0</v>
      </c>
      <c r="AD227" s="28">
        <f>IF(AQ227="7",BH227,0)</f>
        <v>0</v>
      </c>
      <c r="AE227" s="28">
        <f>IF(AQ227="7",BI227,0)</f>
        <v>0</v>
      </c>
      <c r="AF227" s="28">
        <f>IF(AQ227="2",BH227,0)</f>
        <v>0</v>
      </c>
      <c r="AG227" s="28">
        <f>IF(AQ227="2",BI227,0)</f>
        <v>0</v>
      </c>
      <c r="AH227" s="28">
        <f>IF(AQ227="0",BJ227,0)</f>
        <v>0</v>
      </c>
      <c r="AI227" s="10" t="s">
        <v>236</v>
      </c>
      <c r="AJ227" s="28">
        <f>IF(AN227=0,J227,0)</f>
        <v>0</v>
      </c>
      <c r="AK227" s="28">
        <f>IF(AN227=12,J227,0)</f>
        <v>0</v>
      </c>
      <c r="AL227" s="28">
        <f>IF(AN227=21,J227,0)</f>
        <v>0</v>
      </c>
      <c r="AN227" s="28">
        <v>21</v>
      </c>
      <c r="AO227" s="28">
        <f>G227*0</f>
        <v>0</v>
      </c>
      <c r="AP227" s="28">
        <f>G227*(1-0)</f>
        <v>0</v>
      </c>
      <c r="AQ227" s="30" t="s">
        <v>57</v>
      </c>
      <c r="AV227" s="28">
        <f>AW227+AX227</f>
        <v>0</v>
      </c>
      <c r="AW227" s="28">
        <f>F227*AO227</f>
        <v>0</v>
      </c>
      <c r="AX227" s="28">
        <f>F227*AP227</f>
        <v>0</v>
      </c>
      <c r="AY227" s="30" t="s">
        <v>354</v>
      </c>
      <c r="AZ227" s="30" t="s">
        <v>335</v>
      </c>
      <c r="BA227" s="10" t="s">
        <v>242</v>
      </c>
      <c r="BC227" s="28">
        <f>AW227+AX227</f>
        <v>0</v>
      </c>
      <c r="BD227" s="28">
        <f>G227/(100-BE227)*100</f>
        <v>0</v>
      </c>
      <c r="BE227" s="28">
        <v>0</v>
      </c>
      <c r="BF227" s="28">
        <f>227</f>
        <v>227</v>
      </c>
      <c r="BH227" s="28">
        <f>F227*AO227</f>
        <v>0</v>
      </c>
      <c r="BI227" s="28">
        <f>F227*AP227</f>
        <v>0</v>
      </c>
      <c r="BJ227" s="28">
        <f>F227*G227</f>
        <v>0</v>
      </c>
      <c r="BK227" s="28"/>
      <c r="BL227" s="28">
        <v>27</v>
      </c>
      <c r="BW227" s="28">
        <v>21</v>
      </c>
    </row>
    <row r="228" spans="1:75" ht="27" customHeight="1" x14ac:dyDescent="0.25">
      <c r="A228" s="2" t="s">
        <v>309</v>
      </c>
      <c r="B228" s="3" t="s">
        <v>468</v>
      </c>
      <c r="C228" s="83" t="s">
        <v>469</v>
      </c>
      <c r="D228" s="80"/>
      <c r="E228" s="3" t="s">
        <v>60</v>
      </c>
      <c r="F228" s="28">
        <v>8.1999999999999993</v>
      </c>
      <c r="G228" s="28">
        <v>0</v>
      </c>
      <c r="H228" s="28">
        <f>F228*AO228</f>
        <v>0</v>
      </c>
      <c r="I228" s="28">
        <f>F228*AP228</f>
        <v>0</v>
      </c>
      <c r="J228" s="28">
        <f>F228*G228</f>
        <v>0</v>
      </c>
      <c r="K228" s="29" t="s">
        <v>61</v>
      </c>
      <c r="Z228" s="28">
        <f>IF(AQ228="5",BJ228,0)</f>
        <v>0</v>
      </c>
      <c r="AB228" s="28">
        <f>IF(AQ228="1",BH228,0)</f>
        <v>0</v>
      </c>
      <c r="AC228" s="28">
        <f>IF(AQ228="1",BI228,0)</f>
        <v>0</v>
      </c>
      <c r="AD228" s="28">
        <f>IF(AQ228="7",BH228,0)</f>
        <v>0</v>
      </c>
      <c r="AE228" s="28">
        <f>IF(AQ228="7",BI228,0)</f>
        <v>0</v>
      </c>
      <c r="AF228" s="28">
        <f>IF(AQ228="2",BH228,0)</f>
        <v>0</v>
      </c>
      <c r="AG228" s="28">
        <f>IF(AQ228="2",BI228,0)</f>
        <v>0</v>
      </c>
      <c r="AH228" s="28">
        <f>IF(AQ228="0",BJ228,0)</f>
        <v>0</v>
      </c>
      <c r="AI228" s="10" t="s">
        <v>236</v>
      </c>
      <c r="AJ228" s="28">
        <f>IF(AN228=0,J228,0)</f>
        <v>0</v>
      </c>
      <c r="AK228" s="28">
        <f>IF(AN228=12,J228,0)</f>
        <v>0</v>
      </c>
      <c r="AL228" s="28">
        <f>IF(AN228=21,J228,0)</f>
        <v>0</v>
      </c>
      <c r="AN228" s="28">
        <v>21</v>
      </c>
      <c r="AO228" s="28">
        <f>G228*0.908998594</f>
        <v>0</v>
      </c>
      <c r="AP228" s="28">
        <f>G228*(1-0.908998594)</f>
        <v>0</v>
      </c>
      <c r="AQ228" s="30" t="s">
        <v>57</v>
      </c>
      <c r="AV228" s="28">
        <f>AW228+AX228</f>
        <v>0</v>
      </c>
      <c r="AW228" s="28">
        <f>F228*AO228</f>
        <v>0</v>
      </c>
      <c r="AX228" s="28">
        <f>F228*AP228</f>
        <v>0</v>
      </c>
      <c r="AY228" s="30" t="s">
        <v>354</v>
      </c>
      <c r="AZ228" s="30" t="s">
        <v>335</v>
      </c>
      <c r="BA228" s="10" t="s">
        <v>242</v>
      </c>
      <c r="BC228" s="28">
        <f>AW228+AX228</f>
        <v>0</v>
      </c>
      <c r="BD228" s="28">
        <f>G228/(100-BE228)*100</f>
        <v>0</v>
      </c>
      <c r="BE228" s="28">
        <v>0</v>
      </c>
      <c r="BF228" s="28">
        <f>228</f>
        <v>228</v>
      </c>
      <c r="BH228" s="28">
        <f>F228*AO228</f>
        <v>0</v>
      </c>
      <c r="BI228" s="28">
        <f>F228*AP228</f>
        <v>0</v>
      </c>
      <c r="BJ228" s="28">
        <f>F228*G228</f>
        <v>0</v>
      </c>
      <c r="BK228" s="28"/>
      <c r="BL228" s="28">
        <v>27</v>
      </c>
      <c r="BW228" s="28">
        <v>21</v>
      </c>
    </row>
    <row r="229" spans="1:75" x14ac:dyDescent="0.25">
      <c r="A229" s="31"/>
      <c r="C229" s="32" t="s">
        <v>274</v>
      </c>
      <c r="D229" s="32" t="s">
        <v>52</v>
      </c>
      <c r="F229" s="33">
        <v>8.1999999999999993</v>
      </c>
      <c r="K229" s="34"/>
    </row>
    <row r="230" spans="1:75" x14ac:dyDescent="0.25">
      <c r="A230" s="24" t="s">
        <v>52</v>
      </c>
      <c r="B230" s="25" t="s">
        <v>223</v>
      </c>
      <c r="C230" s="139" t="s">
        <v>470</v>
      </c>
      <c r="D230" s="140"/>
      <c r="E230" s="26" t="s">
        <v>4</v>
      </c>
      <c r="F230" s="26" t="s">
        <v>4</v>
      </c>
      <c r="G230" s="26" t="s">
        <v>4</v>
      </c>
      <c r="H230" s="1">
        <f>SUM(H231:H271)</f>
        <v>0</v>
      </c>
      <c r="I230" s="1">
        <f>SUM(I231:I271)</f>
        <v>0</v>
      </c>
      <c r="J230" s="1">
        <f>SUM(J231:J271)</f>
        <v>0</v>
      </c>
      <c r="K230" s="27" t="s">
        <v>52</v>
      </c>
      <c r="AI230" s="10" t="s">
        <v>236</v>
      </c>
      <c r="AS230" s="1">
        <f>SUM(AJ231:AJ271)</f>
        <v>0</v>
      </c>
      <c r="AT230" s="1">
        <f>SUM(AK231:AK271)</f>
        <v>0</v>
      </c>
      <c r="AU230" s="1">
        <f>SUM(AL231:AL271)</f>
        <v>0</v>
      </c>
    </row>
    <row r="231" spans="1:75" ht="13.5" customHeight="1" x14ac:dyDescent="0.25">
      <c r="A231" s="2" t="s">
        <v>471</v>
      </c>
      <c r="B231" s="3" t="s">
        <v>472</v>
      </c>
      <c r="C231" s="83" t="s">
        <v>473</v>
      </c>
      <c r="D231" s="80"/>
      <c r="E231" s="3" t="s">
        <v>148</v>
      </c>
      <c r="F231" s="28">
        <v>5</v>
      </c>
      <c r="G231" s="28">
        <v>0</v>
      </c>
      <c r="H231" s="28">
        <f>F231*AO231</f>
        <v>0</v>
      </c>
      <c r="I231" s="28">
        <f>F231*AP231</f>
        <v>0</v>
      </c>
      <c r="J231" s="28">
        <f>F231*G231</f>
        <v>0</v>
      </c>
      <c r="K231" s="29" t="s">
        <v>61</v>
      </c>
      <c r="Z231" s="28">
        <f>IF(AQ231="5",BJ231,0)</f>
        <v>0</v>
      </c>
      <c r="AB231" s="28">
        <f>IF(AQ231="1",BH231,0)</f>
        <v>0</v>
      </c>
      <c r="AC231" s="28">
        <f>IF(AQ231="1",BI231,0)</f>
        <v>0</v>
      </c>
      <c r="AD231" s="28">
        <f>IF(AQ231="7",BH231,0)</f>
        <v>0</v>
      </c>
      <c r="AE231" s="28">
        <f>IF(AQ231="7",BI231,0)</f>
        <v>0</v>
      </c>
      <c r="AF231" s="28">
        <f>IF(AQ231="2",BH231,0)</f>
        <v>0</v>
      </c>
      <c r="AG231" s="28">
        <f>IF(AQ231="2",BI231,0)</f>
        <v>0</v>
      </c>
      <c r="AH231" s="28">
        <f>IF(AQ231="0",BJ231,0)</f>
        <v>0</v>
      </c>
      <c r="AI231" s="10" t="s">
        <v>236</v>
      </c>
      <c r="AJ231" s="28">
        <f>IF(AN231=0,J231,0)</f>
        <v>0</v>
      </c>
      <c r="AK231" s="28">
        <f>IF(AN231=12,J231,0)</f>
        <v>0</v>
      </c>
      <c r="AL231" s="28">
        <f>IF(AN231=21,J231,0)</f>
        <v>0</v>
      </c>
      <c r="AN231" s="28">
        <v>21</v>
      </c>
      <c r="AO231" s="28">
        <f>G231*0.830863208</f>
        <v>0</v>
      </c>
      <c r="AP231" s="28">
        <f>G231*(1-0.830863208)</f>
        <v>0</v>
      </c>
      <c r="AQ231" s="30" t="s">
        <v>57</v>
      </c>
      <c r="AV231" s="28">
        <f>AW231+AX231</f>
        <v>0</v>
      </c>
      <c r="AW231" s="28">
        <f>F231*AO231</f>
        <v>0</v>
      </c>
      <c r="AX231" s="28">
        <f>F231*AP231</f>
        <v>0</v>
      </c>
      <c r="AY231" s="30" t="s">
        <v>474</v>
      </c>
      <c r="AZ231" s="30" t="s">
        <v>475</v>
      </c>
      <c r="BA231" s="10" t="s">
        <v>242</v>
      </c>
      <c r="BC231" s="28">
        <f>AW231+AX231</f>
        <v>0</v>
      </c>
      <c r="BD231" s="28">
        <f>G231/(100-BE231)*100</f>
        <v>0</v>
      </c>
      <c r="BE231" s="28">
        <v>0</v>
      </c>
      <c r="BF231" s="28">
        <f>231</f>
        <v>231</v>
      </c>
      <c r="BH231" s="28">
        <f>F231*AO231</f>
        <v>0</v>
      </c>
      <c r="BI231" s="28">
        <f>F231*AP231</f>
        <v>0</v>
      </c>
      <c r="BJ231" s="28">
        <f>F231*G231</f>
        <v>0</v>
      </c>
      <c r="BK231" s="28"/>
      <c r="BL231" s="28">
        <v>31</v>
      </c>
      <c r="BW231" s="28">
        <v>21</v>
      </c>
    </row>
    <row r="232" spans="1:75" x14ac:dyDescent="0.25">
      <c r="A232" s="31"/>
      <c r="C232" s="32" t="s">
        <v>476</v>
      </c>
      <c r="D232" s="32" t="s">
        <v>52</v>
      </c>
      <c r="F232" s="33">
        <v>2.875</v>
      </c>
      <c r="K232" s="34"/>
    </row>
    <row r="233" spans="1:75" x14ac:dyDescent="0.25">
      <c r="A233" s="31"/>
      <c r="C233" s="32" t="s">
        <v>477</v>
      </c>
      <c r="D233" s="32" t="s">
        <v>478</v>
      </c>
      <c r="F233" s="33">
        <v>-0.125</v>
      </c>
      <c r="K233" s="34"/>
    </row>
    <row r="234" spans="1:75" x14ac:dyDescent="0.25">
      <c r="A234" s="31"/>
      <c r="C234" s="32" t="s">
        <v>479</v>
      </c>
      <c r="D234" s="32" t="s">
        <v>478</v>
      </c>
      <c r="F234" s="33">
        <v>7.4999999999999997E-2</v>
      </c>
      <c r="K234" s="34"/>
    </row>
    <row r="235" spans="1:75" x14ac:dyDescent="0.25">
      <c r="A235" s="31"/>
      <c r="C235" s="32" t="s">
        <v>480</v>
      </c>
      <c r="D235" s="32" t="s">
        <v>52</v>
      </c>
      <c r="F235" s="33">
        <v>2.375</v>
      </c>
      <c r="K235" s="34"/>
    </row>
    <row r="236" spans="1:75" x14ac:dyDescent="0.25">
      <c r="A236" s="31"/>
      <c r="C236" s="32" t="s">
        <v>477</v>
      </c>
      <c r="D236" s="32" t="s">
        <v>478</v>
      </c>
      <c r="F236" s="33">
        <v>-0.125</v>
      </c>
      <c r="K236" s="34"/>
    </row>
    <row r="237" spans="1:75" x14ac:dyDescent="0.25">
      <c r="A237" s="31"/>
      <c r="C237" s="32" t="s">
        <v>481</v>
      </c>
      <c r="D237" s="32" t="s">
        <v>478</v>
      </c>
      <c r="F237" s="33">
        <v>-7.4999999999999997E-2</v>
      </c>
      <c r="K237" s="34"/>
    </row>
    <row r="238" spans="1:75" ht="13.5" customHeight="1" x14ac:dyDescent="0.25">
      <c r="A238" s="2" t="s">
        <v>482</v>
      </c>
      <c r="B238" s="3" t="s">
        <v>483</v>
      </c>
      <c r="C238" s="83" t="s">
        <v>484</v>
      </c>
      <c r="D238" s="80"/>
      <c r="E238" s="3" t="s">
        <v>148</v>
      </c>
      <c r="F238" s="28">
        <v>48.6</v>
      </c>
      <c r="G238" s="28">
        <v>0</v>
      </c>
      <c r="H238" s="28">
        <f>F238*AO238</f>
        <v>0</v>
      </c>
      <c r="I238" s="28">
        <f>F238*AP238</f>
        <v>0</v>
      </c>
      <c r="J238" s="28">
        <f>F238*G238</f>
        <v>0</v>
      </c>
      <c r="K238" s="29" t="s">
        <v>61</v>
      </c>
      <c r="Z238" s="28">
        <f>IF(AQ238="5",BJ238,0)</f>
        <v>0</v>
      </c>
      <c r="AB238" s="28">
        <f>IF(AQ238="1",BH238,0)</f>
        <v>0</v>
      </c>
      <c r="AC238" s="28">
        <f>IF(AQ238="1",BI238,0)</f>
        <v>0</v>
      </c>
      <c r="AD238" s="28">
        <f>IF(AQ238="7",BH238,0)</f>
        <v>0</v>
      </c>
      <c r="AE238" s="28">
        <f>IF(AQ238="7",BI238,0)</f>
        <v>0</v>
      </c>
      <c r="AF238" s="28">
        <f>IF(AQ238="2",BH238,0)</f>
        <v>0</v>
      </c>
      <c r="AG238" s="28">
        <f>IF(AQ238="2",BI238,0)</f>
        <v>0</v>
      </c>
      <c r="AH238" s="28">
        <f>IF(AQ238="0",BJ238,0)</f>
        <v>0</v>
      </c>
      <c r="AI238" s="10" t="s">
        <v>236</v>
      </c>
      <c r="AJ238" s="28">
        <f>IF(AN238=0,J238,0)</f>
        <v>0</v>
      </c>
      <c r="AK238" s="28">
        <f>IF(AN238=12,J238,0)</f>
        <v>0</v>
      </c>
      <c r="AL238" s="28">
        <f>IF(AN238=21,J238,0)</f>
        <v>0</v>
      </c>
      <c r="AN238" s="28">
        <v>21</v>
      </c>
      <c r="AO238" s="28">
        <f>G238*0.851327138</f>
        <v>0</v>
      </c>
      <c r="AP238" s="28">
        <f>G238*(1-0.851327138)</f>
        <v>0</v>
      </c>
      <c r="AQ238" s="30" t="s">
        <v>57</v>
      </c>
      <c r="AV238" s="28">
        <f>AW238+AX238</f>
        <v>0</v>
      </c>
      <c r="AW238" s="28">
        <f>F238*AO238</f>
        <v>0</v>
      </c>
      <c r="AX238" s="28">
        <f>F238*AP238</f>
        <v>0</v>
      </c>
      <c r="AY238" s="30" t="s">
        <v>474</v>
      </c>
      <c r="AZ238" s="30" t="s">
        <v>475</v>
      </c>
      <c r="BA238" s="10" t="s">
        <v>242</v>
      </c>
      <c r="BC238" s="28">
        <f>AW238+AX238</f>
        <v>0</v>
      </c>
      <c r="BD238" s="28">
        <f>G238/(100-BE238)*100</f>
        <v>0</v>
      </c>
      <c r="BE238" s="28">
        <v>0</v>
      </c>
      <c r="BF238" s="28">
        <f>238</f>
        <v>238</v>
      </c>
      <c r="BH238" s="28">
        <f>F238*AO238</f>
        <v>0</v>
      </c>
      <c r="BI238" s="28">
        <f>F238*AP238</f>
        <v>0</v>
      </c>
      <c r="BJ238" s="28">
        <f>F238*G238</f>
        <v>0</v>
      </c>
      <c r="BK238" s="28"/>
      <c r="BL238" s="28">
        <v>31</v>
      </c>
      <c r="BW238" s="28">
        <v>21</v>
      </c>
    </row>
    <row r="239" spans="1:75" x14ac:dyDescent="0.25">
      <c r="A239" s="31"/>
      <c r="C239" s="32" t="s">
        <v>485</v>
      </c>
      <c r="D239" s="32" t="s">
        <v>52</v>
      </c>
      <c r="F239" s="33">
        <v>48.6</v>
      </c>
      <c r="K239" s="34"/>
    </row>
    <row r="240" spans="1:75" ht="13.5" customHeight="1" x14ac:dyDescent="0.25">
      <c r="A240" s="2" t="s">
        <v>486</v>
      </c>
      <c r="B240" s="3" t="s">
        <v>487</v>
      </c>
      <c r="C240" s="83" t="s">
        <v>488</v>
      </c>
      <c r="D240" s="80"/>
      <c r="E240" s="3" t="s">
        <v>137</v>
      </c>
      <c r="F240" s="28">
        <v>2</v>
      </c>
      <c r="G240" s="28">
        <v>0</v>
      </c>
      <c r="H240" s="28">
        <f>F240*AO240</f>
        <v>0</v>
      </c>
      <c r="I240" s="28">
        <f>F240*AP240</f>
        <v>0</v>
      </c>
      <c r="J240" s="28">
        <f>F240*G240</f>
        <v>0</v>
      </c>
      <c r="K240" s="29" t="s">
        <v>61</v>
      </c>
      <c r="Z240" s="28">
        <f>IF(AQ240="5",BJ240,0)</f>
        <v>0</v>
      </c>
      <c r="AB240" s="28">
        <f>IF(AQ240="1",BH240,0)</f>
        <v>0</v>
      </c>
      <c r="AC240" s="28">
        <f>IF(AQ240="1",BI240,0)</f>
        <v>0</v>
      </c>
      <c r="AD240" s="28">
        <f>IF(AQ240="7",BH240,0)</f>
        <v>0</v>
      </c>
      <c r="AE240" s="28">
        <f>IF(AQ240="7",BI240,0)</f>
        <v>0</v>
      </c>
      <c r="AF240" s="28">
        <f>IF(AQ240="2",BH240,0)</f>
        <v>0</v>
      </c>
      <c r="AG240" s="28">
        <f>IF(AQ240="2",BI240,0)</f>
        <v>0</v>
      </c>
      <c r="AH240" s="28">
        <f>IF(AQ240="0",BJ240,0)</f>
        <v>0</v>
      </c>
      <c r="AI240" s="10" t="s">
        <v>236</v>
      </c>
      <c r="AJ240" s="28">
        <f>IF(AN240=0,J240,0)</f>
        <v>0</v>
      </c>
      <c r="AK240" s="28">
        <f>IF(AN240=12,J240,0)</f>
        <v>0</v>
      </c>
      <c r="AL240" s="28">
        <f>IF(AN240=21,J240,0)</f>
        <v>0</v>
      </c>
      <c r="AN240" s="28">
        <v>21</v>
      </c>
      <c r="AO240" s="28">
        <f>G240*0.743529412</f>
        <v>0</v>
      </c>
      <c r="AP240" s="28">
        <f>G240*(1-0.743529412)</f>
        <v>0</v>
      </c>
      <c r="AQ240" s="30" t="s">
        <v>57</v>
      </c>
      <c r="AV240" s="28">
        <f>AW240+AX240</f>
        <v>0</v>
      </c>
      <c r="AW240" s="28">
        <f>F240*AO240</f>
        <v>0</v>
      </c>
      <c r="AX240" s="28">
        <f>F240*AP240</f>
        <v>0</v>
      </c>
      <c r="AY240" s="30" t="s">
        <v>474</v>
      </c>
      <c r="AZ240" s="30" t="s">
        <v>475</v>
      </c>
      <c r="BA240" s="10" t="s">
        <v>242</v>
      </c>
      <c r="BC240" s="28">
        <f>AW240+AX240</f>
        <v>0</v>
      </c>
      <c r="BD240" s="28">
        <f>G240/(100-BE240)*100</f>
        <v>0</v>
      </c>
      <c r="BE240" s="28">
        <v>0</v>
      </c>
      <c r="BF240" s="28">
        <f>240</f>
        <v>240</v>
      </c>
      <c r="BH240" s="28">
        <f>F240*AO240</f>
        <v>0</v>
      </c>
      <c r="BI240" s="28">
        <f>F240*AP240</f>
        <v>0</v>
      </c>
      <c r="BJ240" s="28">
        <f>F240*G240</f>
        <v>0</v>
      </c>
      <c r="BK240" s="28"/>
      <c r="BL240" s="28">
        <v>31</v>
      </c>
      <c r="BW240" s="28">
        <v>21</v>
      </c>
    </row>
    <row r="241" spans="1:75" ht="13.5" customHeight="1" x14ac:dyDescent="0.25">
      <c r="A241" s="2" t="s">
        <v>489</v>
      </c>
      <c r="B241" s="3" t="s">
        <v>490</v>
      </c>
      <c r="C241" s="83" t="s">
        <v>491</v>
      </c>
      <c r="D241" s="80"/>
      <c r="E241" s="3" t="s">
        <v>148</v>
      </c>
      <c r="F241" s="28">
        <v>166.25</v>
      </c>
      <c r="G241" s="28">
        <v>0</v>
      </c>
      <c r="H241" s="28">
        <f>F241*AO241</f>
        <v>0</v>
      </c>
      <c r="I241" s="28">
        <f>F241*AP241</f>
        <v>0</v>
      </c>
      <c r="J241" s="28">
        <f>F241*G241</f>
        <v>0</v>
      </c>
      <c r="K241" s="29" t="s">
        <v>61</v>
      </c>
      <c r="Z241" s="28">
        <f>IF(AQ241="5",BJ241,0)</f>
        <v>0</v>
      </c>
      <c r="AB241" s="28">
        <f>IF(AQ241="1",BH241,0)</f>
        <v>0</v>
      </c>
      <c r="AC241" s="28">
        <f>IF(AQ241="1",BI241,0)</f>
        <v>0</v>
      </c>
      <c r="AD241" s="28">
        <f>IF(AQ241="7",BH241,0)</f>
        <v>0</v>
      </c>
      <c r="AE241" s="28">
        <f>IF(AQ241="7",BI241,0)</f>
        <v>0</v>
      </c>
      <c r="AF241" s="28">
        <f>IF(AQ241="2",BH241,0)</f>
        <v>0</v>
      </c>
      <c r="AG241" s="28">
        <f>IF(AQ241="2",BI241,0)</f>
        <v>0</v>
      </c>
      <c r="AH241" s="28">
        <f>IF(AQ241="0",BJ241,0)</f>
        <v>0</v>
      </c>
      <c r="AI241" s="10" t="s">
        <v>236</v>
      </c>
      <c r="AJ241" s="28">
        <f>IF(AN241=0,J241,0)</f>
        <v>0</v>
      </c>
      <c r="AK241" s="28">
        <f>IF(AN241=12,J241,0)</f>
        <v>0</v>
      </c>
      <c r="AL241" s="28">
        <f>IF(AN241=21,J241,0)</f>
        <v>0</v>
      </c>
      <c r="AN241" s="28">
        <v>21</v>
      </c>
      <c r="AO241" s="28">
        <f>G241*0</f>
        <v>0</v>
      </c>
      <c r="AP241" s="28">
        <f>G241*(1-0)</f>
        <v>0</v>
      </c>
      <c r="AQ241" s="30" t="s">
        <v>57</v>
      </c>
      <c r="AV241" s="28">
        <f>AW241+AX241</f>
        <v>0</v>
      </c>
      <c r="AW241" s="28">
        <f>F241*AO241</f>
        <v>0</v>
      </c>
      <c r="AX241" s="28">
        <f>F241*AP241</f>
        <v>0</v>
      </c>
      <c r="AY241" s="30" t="s">
        <v>474</v>
      </c>
      <c r="AZ241" s="30" t="s">
        <v>475</v>
      </c>
      <c r="BA241" s="10" t="s">
        <v>242</v>
      </c>
      <c r="BC241" s="28">
        <f>AW241+AX241</f>
        <v>0</v>
      </c>
      <c r="BD241" s="28">
        <f>G241/(100-BE241)*100</f>
        <v>0</v>
      </c>
      <c r="BE241" s="28">
        <v>0</v>
      </c>
      <c r="BF241" s="28">
        <f>241</f>
        <v>241</v>
      </c>
      <c r="BH241" s="28">
        <f>F241*AO241</f>
        <v>0</v>
      </c>
      <c r="BI241" s="28">
        <f>F241*AP241</f>
        <v>0</v>
      </c>
      <c r="BJ241" s="28">
        <f>F241*G241</f>
        <v>0</v>
      </c>
      <c r="BK241" s="28"/>
      <c r="BL241" s="28">
        <v>31</v>
      </c>
      <c r="BW241" s="28">
        <v>21</v>
      </c>
    </row>
    <row r="242" spans="1:75" x14ac:dyDescent="0.25">
      <c r="A242" s="31"/>
      <c r="C242" s="32" t="s">
        <v>492</v>
      </c>
      <c r="D242" s="32" t="s">
        <v>52</v>
      </c>
      <c r="F242" s="33">
        <v>166.25</v>
      </c>
      <c r="K242" s="34"/>
    </row>
    <row r="243" spans="1:75" ht="27" customHeight="1" x14ac:dyDescent="0.25">
      <c r="A243" s="2" t="s">
        <v>493</v>
      </c>
      <c r="B243" s="3" t="s">
        <v>494</v>
      </c>
      <c r="C243" s="83" t="s">
        <v>495</v>
      </c>
      <c r="D243" s="80"/>
      <c r="E243" s="3" t="s">
        <v>148</v>
      </c>
      <c r="F243" s="28">
        <v>169.57499999999999</v>
      </c>
      <c r="G243" s="28">
        <v>0</v>
      </c>
      <c r="H243" s="28">
        <f>F243*AO243</f>
        <v>0</v>
      </c>
      <c r="I243" s="28">
        <f>F243*AP243</f>
        <v>0</v>
      </c>
      <c r="J243" s="28">
        <f>F243*G243</f>
        <v>0</v>
      </c>
      <c r="K243" s="29" t="s">
        <v>61</v>
      </c>
      <c r="Z243" s="28">
        <f>IF(AQ243="5",BJ243,0)</f>
        <v>0</v>
      </c>
      <c r="AB243" s="28">
        <f>IF(AQ243="1",BH243,0)</f>
        <v>0</v>
      </c>
      <c r="AC243" s="28">
        <f>IF(AQ243="1",BI243,0)</f>
        <v>0</v>
      </c>
      <c r="AD243" s="28">
        <f>IF(AQ243="7",BH243,0)</f>
        <v>0</v>
      </c>
      <c r="AE243" s="28">
        <f>IF(AQ243="7",BI243,0)</f>
        <v>0</v>
      </c>
      <c r="AF243" s="28">
        <f>IF(AQ243="2",BH243,0)</f>
        <v>0</v>
      </c>
      <c r="AG243" s="28">
        <f>IF(AQ243="2",BI243,0)</f>
        <v>0</v>
      </c>
      <c r="AH243" s="28">
        <f>IF(AQ243="0",BJ243,0)</f>
        <v>0</v>
      </c>
      <c r="AI243" s="10" t="s">
        <v>236</v>
      </c>
      <c r="AJ243" s="28">
        <f>IF(AN243=0,J243,0)</f>
        <v>0</v>
      </c>
      <c r="AK243" s="28">
        <f>IF(AN243=12,J243,0)</f>
        <v>0</v>
      </c>
      <c r="AL243" s="28">
        <f>IF(AN243=21,J243,0)</f>
        <v>0</v>
      </c>
      <c r="AN243" s="28">
        <v>21</v>
      </c>
      <c r="AO243" s="28">
        <f>G243*1</f>
        <v>0</v>
      </c>
      <c r="AP243" s="28">
        <f>G243*(1-1)</f>
        <v>0</v>
      </c>
      <c r="AQ243" s="30" t="s">
        <v>57</v>
      </c>
      <c r="AV243" s="28">
        <f>AW243+AX243</f>
        <v>0</v>
      </c>
      <c r="AW243" s="28">
        <f>F243*AO243</f>
        <v>0</v>
      </c>
      <c r="AX243" s="28">
        <f>F243*AP243</f>
        <v>0</v>
      </c>
      <c r="AY243" s="30" t="s">
        <v>474</v>
      </c>
      <c r="AZ243" s="30" t="s">
        <v>475</v>
      </c>
      <c r="BA243" s="10" t="s">
        <v>242</v>
      </c>
      <c r="BC243" s="28">
        <f>AW243+AX243</f>
        <v>0</v>
      </c>
      <c r="BD243" s="28">
        <f>G243/(100-BE243)*100</f>
        <v>0</v>
      </c>
      <c r="BE243" s="28">
        <v>0</v>
      </c>
      <c r="BF243" s="28">
        <f>243</f>
        <v>243</v>
      </c>
      <c r="BH243" s="28">
        <f>F243*AO243</f>
        <v>0</v>
      </c>
      <c r="BI243" s="28">
        <f>F243*AP243</f>
        <v>0</v>
      </c>
      <c r="BJ243" s="28">
        <f>F243*G243</f>
        <v>0</v>
      </c>
      <c r="BK243" s="28"/>
      <c r="BL243" s="28">
        <v>31</v>
      </c>
      <c r="BW243" s="28">
        <v>21</v>
      </c>
    </row>
    <row r="244" spans="1:75" x14ac:dyDescent="0.25">
      <c r="A244" s="31"/>
      <c r="C244" s="32" t="s">
        <v>492</v>
      </c>
      <c r="D244" s="32" t="s">
        <v>496</v>
      </c>
      <c r="F244" s="33">
        <v>166.25</v>
      </c>
      <c r="K244" s="34"/>
    </row>
    <row r="245" spans="1:75" x14ac:dyDescent="0.25">
      <c r="A245" s="31"/>
      <c r="C245" s="32" t="s">
        <v>497</v>
      </c>
      <c r="D245" s="32" t="s">
        <v>52</v>
      </c>
      <c r="F245" s="33">
        <v>3.3250000000000002</v>
      </c>
      <c r="K245" s="34"/>
    </row>
    <row r="246" spans="1:75" ht="13.5" customHeight="1" x14ac:dyDescent="0.25">
      <c r="A246" s="2" t="s">
        <v>498</v>
      </c>
      <c r="B246" s="3" t="s">
        <v>499</v>
      </c>
      <c r="C246" s="83" t="s">
        <v>500</v>
      </c>
      <c r="D246" s="80"/>
      <c r="E246" s="3" t="s">
        <v>148</v>
      </c>
      <c r="F246" s="28">
        <v>344.17</v>
      </c>
      <c r="G246" s="28">
        <v>0</v>
      </c>
      <c r="H246" s="28">
        <f>F246*AO246</f>
        <v>0</v>
      </c>
      <c r="I246" s="28">
        <f>F246*AP246</f>
        <v>0</v>
      </c>
      <c r="J246" s="28">
        <f>F246*G246</f>
        <v>0</v>
      </c>
      <c r="K246" s="29" t="s">
        <v>61</v>
      </c>
      <c r="Z246" s="28">
        <f>IF(AQ246="5",BJ246,0)</f>
        <v>0</v>
      </c>
      <c r="AB246" s="28">
        <f>IF(AQ246="1",BH246,0)</f>
        <v>0</v>
      </c>
      <c r="AC246" s="28">
        <f>IF(AQ246="1",BI246,0)</f>
        <v>0</v>
      </c>
      <c r="AD246" s="28">
        <f>IF(AQ246="7",BH246,0)</f>
        <v>0</v>
      </c>
      <c r="AE246" s="28">
        <f>IF(AQ246="7",BI246,0)</f>
        <v>0</v>
      </c>
      <c r="AF246" s="28">
        <f>IF(AQ246="2",BH246,0)</f>
        <v>0</v>
      </c>
      <c r="AG246" s="28">
        <f>IF(AQ246="2",BI246,0)</f>
        <v>0</v>
      </c>
      <c r="AH246" s="28">
        <f>IF(AQ246="0",BJ246,0)</f>
        <v>0</v>
      </c>
      <c r="AI246" s="10" t="s">
        <v>236</v>
      </c>
      <c r="AJ246" s="28">
        <f>IF(AN246=0,J246,0)</f>
        <v>0</v>
      </c>
      <c r="AK246" s="28">
        <f>IF(AN246=12,J246,0)</f>
        <v>0</v>
      </c>
      <c r="AL246" s="28">
        <f>IF(AN246=21,J246,0)</f>
        <v>0</v>
      </c>
      <c r="AN246" s="28">
        <v>21</v>
      </c>
      <c r="AO246" s="28">
        <f>G246*0</f>
        <v>0</v>
      </c>
      <c r="AP246" s="28">
        <f>G246*(1-0)</f>
        <v>0</v>
      </c>
      <c r="AQ246" s="30" t="s">
        <v>57</v>
      </c>
      <c r="AV246" s="28">
        <f>AW246+AX246</f>
        <v>0</v>
      </c>
      <c r="AW246" s="28">
        <f>F246*AO246</f>
        <v>0</v>
      </c>
      <c r="AX246" s="28">
        <f>F246*AP246</f>
        <v>0</v>
      </c>
      <c r="AY246" s="30" t="s">
        <v>474</v>
      </c>
      <c r="AZ246" s="30" t="s">
        <v>475</v>
      </c>
      <c r="BA246" s="10" t="s">
        <v>242</v>
      </c>
      <c r="BC246" s="28">
        <f>AW246+AX246</f>
        <v>0</v>
      </c>
      <c r="BD246" s="28">
        <f>G246/(100-BE246)*100</f>
        <v>0</v>
      </c>
      <c r="BE246" s="28">
        <v>0</v>
      </c>
      <c r="BF246" s="28">
        <f>246</f>
        <v>246</v>
      </c>
      <c r="BH246" s="28">
        <f>F246*AO246</f>
        <v>0</v>
      </c>
      <c r="BI246" s="28">
        <f>F246*AP246</f>
        <v>0</v>
      </c>
      <c r="BJ246" s="28">
        <f>F246*G246</f>
        <v>0</v>
      </c>
      <c r="BK246" s="28"/>
      <c r="BL246" s="28">
        <v>31</v>
      </c>
      <c r="BW246" s="28">
        <v>21</v>
      </c>
    </row>
    <row r="247" spans="1:75" x14ac:dyDescent="0.25">
      <c r="A247" s="31"/>
      <c r="C247" s="32" t="s">
        <v>501</v>
      </c>
      <c r="D247" s="32" t="s">
        <v>502</v>
      </c>
      <c r="F247" s="33">
        <v>129.74</v>
      </c>
      <c r="K247" s="34"/>
    </row>
    <row r="248" spans="1:75" x14ac:dyDescent="0.25">
      <c r="A248" s="31"/>
      <c r="C248" s="32" t="s">
        <v>503</v>
      </c>
      <c r="D248" s="32" t="s">
        <v>504</v>
      </c>
      <c r="F248" s="33">
        <v>132.74</v>
      </c>
      <c r="K248" s="34"/>
    </row>
    <row r="249" spans="1:75" x14ac:dyDescent="0.25">
      <c r="A249" s="31"/>
      <c r="C249" s="32" t="s">
        <v>505</v>
      </c>
      <c r="D249" s="32" t="s">
        <v>506</v>
      </c>
      <c r="F249" s="33">
        <v>-42.64</v>
      </c>
      <c r="K249" s="34"/>
    </row>
    <row r="250" spans="1:75" x14ac:dyDescent="0.25">
      <c r="A250" s="31"/>
      <c r="C250" s="32" t="s">
        <v>507</v>
      </c>
      <c r="D250" s="32" t="s">
        <v>508</v>
      </c>
      <c r="F250" s="33">
        <v>164.33</v>
      </c>
      <c r="K250" s="34"/>
    </row>
    <row r="251" spans="1:75" x14ac:dyDescent="0.25">
      <c r="A251" s="31"/>
      <c r="C251" s="32" t="s">
        <v>509</v>
      </c>
      <c r="D251" s="32" t="s">
        <v>510</v>
      </c>
      <c r="F251" s="33">
        <v>-40</v>
      </c>
      <c r="K251" s="34"/>
    </row>
    <row r="252" spans="1:75" ht="27" customHeight="1" x14ac:dyDescent="0.25">
      <c r="A252" s="2" t="s">
        <v>511</v>
      </c>
      <c r="B252" s="3" t="s">
        <v>494</v>
      </c>
      <c r="C252" s="83" t="s">
        <v>512</v>
      </c>
      <c r="D252" s="80"/>
      <c r="E252" s="3" t="s">
        <v>148</v>
      </c>
      <c r="F252" s="28">
        <v>351.05340000000001</v>
      </c>
      <c r="G252" s="28">
        <v>0</v>
      </c>
      <c r="H252" s="28">
        <f>F252*AO252</f>
        <v>0</v>
      </c>
      <c r="I252" s="28">
        <f>F252*AP252</f>
        <v>0</v>
      </c>
      <c r="J252" s="28">
        <f>F252*G252</f>
        <v>0</v>
      </c>
      <c r="K252" s="29" t="s">
        <v>61</v>
      </c>
      <c r="Z252" s="28">
        <f>IF(AQ252="5",BJ252,0)</f>
        <v>0</v>
      </c>
      <c r="AB252" s="28">
        <f>IF(AQ252="1",BH252,0)</f>
        <v>0</v>
      </c>
      <c r="AC252" s="28">
        <f>IF(AQ252="1",BI252,0)</f>
        <v>0</v>
      </c>
      <c r="AD252" s="28">
        <f>IF(AQ252="7",BH252,0)</f>
        <v>0</v>
      </c>
      <c r="AE252" s="28">
        <f>IF(AQ252="7",BI252,0)</f>
        <v>0</v>
      </c>
      <c r="AF252" s="28">
        <f>IF(AQ252="2",BH252,0)</f>
        <v>0</v>
      </c>
      <c r="AG252" s="28">
        <f>IF(AQ252="2",BI252,0)</f>
        <v>0</v>
      </c>
      <c r="AH252" s="28">
        <f>IF(AQ252="0",BJ252,0)</f>
        <v>0</v>
      </c>
      <c r="AI252" s="10" t="s">
        <v>236</v>
      </c>
      <c r="AJ252" s="28">
        <f>IF(AN252=0,J252,0)</f>
        <v>0</v>
      </c>
      <c r="AK252" s="28">
        <f>IF(AN252=12,J252,0)</f>
        <v>0</v>
      </c>
      <c r="AL252" s="28">
        <f>IF(AN252=21,J252,0)</f>
        <v>0</v>
      </c>
      <c r="AN252" s="28">
        <v>21</v>
      </c>
      <c r="AO252" s="28">
        <f>G252*1</f>
        <v>0</v>
      </c>
      <c r="AP252" s="28">
        <f>G252*(1-1)</f>
        <v>0</v>
      </c>
      <c r="AQ252" s="30" t="s">
        <v>57</v>
      </c>
      <c r="AV252" s="28">
        <f>AW252+AX252</f>
        <v>0</v>
      </c>
      <c r="AW252" s="28">
        <f>F252*AO252</f>
        <v>0</v>
      </c>
      <c r="AX252" s="28">
        <f>F252*AP252</f>
        <v>0</v>
      </c>
      <c r="AY252" s="30" t="s">
        <v>474</v>
      </c>
      <c r="AZ252" s="30" t="s">
        <v>475</v>
      </c>
      <c r="BA252" s="10" t="s">
        <v>242</v>
      </c>
      <c r="BC252" s="28">
        <f>AW252+AX252</f>
        <v>0</v>
      </c>
      <c r="BD252" s="28">
        <f>G252/(100-BE252)*100</f>
        <v>0</v>
      </c>
      <c r="BE252" s="28">
        <v>0</v>
      </c>
      <c r="BF252" s="28">
        <f>252</f>
        <v>252</v>
      </c>
      <c r="BH252" s="28">
        <f>F252*AO252</f>
        <v>0</v>
      </c>
      <c r="BI252" s="28">
        <f>F252*AP252</f>
        <v>0</v>
      </c>
      <c r="BJ252" s="28">
        <f>F252*G252</f>
        <v>0</v>
      </c>
      <c r="BK252" s="28"/>
      <c r="BL252" s="28">
        <v>31</v>
      </c>
      <c r="BW252" s="28">
        <v>21</v>
      </c>
    </row>
    <row r="253" spans="1:75" x14ac:dyDescent="0.25">
      <c r="A253" s="31"/>
      <c r="C253" s="32" t="s">
        <v>513</v>
      </c>
      <c r="D253" s="32" t="s">
        <v>52</v>
      </c>
      <c r="F253" s="33">
        <v>344.17</v>
      </c>
      <c r="K253" s="34"/>
    </row>
    <row r="254" spans="1:75" x14ac:dyDescent="0.25">
      <c r="A254" s="31"/>
      <c r="C254" s="32" t="s">
        <v>514</v>
      </c>
      <c r="D254" s="32" t="s">
        <v>52</v>
      </c>
      <c r="F254" s="33">
        <v>6.8834</v>
      </c>
      <c r="K254" s="34"/>
    </row>
    <row r="255" spans="1:75" ht="13.5" customHeight="1" x14ac:dyDescent="0.25">
      <c r="A255" s="2" t="s">
        <v>515</v>
      </c>
      <c r="B255" s="3" t="s">
        <v>516</v>
      </c>
      <c r="C255" s="83" t="s">
        <v>517</v>
      </c>
      <c r="D255" s="80"/>
      <c r="E255" s="3" t="s">
        <v>148</v>
      </c>
      <c r="F255" s="28">
        <v>471.66329999999999</v>
      </c>
      <c r="G255" s="28">
        <v>0</v>
      </c>
      <c r="H255" s="28">
        <f>F255*AO255</f>
        <v>0</v>
      </c>
      <c r="I255" s="28">
        <f>F255*AP255</f>
        <v>0</v>
      </c>
      <c r="J255" s="28">
        <f>F255*G255</f>
        <v>0</v>
      </c>
      <c r="K255" s="29" t="s">
        <v>61</v>
      </c>
      <c r="Z255" s="28">
        <f>IF(AQ255="5",BJ255,0)</f>
        <v>0</v>
      </c>
      <c r="AB255" s="28">
        <f>IF(AQ255="1",BH255,0)</f>
        <v>0</v>
      </c>
      <c r="AC255" s="28">
        <f>IF(AQ255="1",BI255,0)</f>
        <v>0</v>
      </c>
      <c r="AD255" s="28">
        <f>IF(AQ255="7",BH255,0)</f>
        <v>0</v>
      </c>
      <c r="AE255" s="28">
        <f>IF(AQ255="7",BI255,0)</f>
        <v>0</v>
      </c>
      <c r="AF255" s="28">
        <f>IF(AQ255="2",BH255,0)</f>
        <v>0</v>
      </c>
      <c r="AG255" s="28">
        <f>IF(AQ255="2",BI255,0)</f>
        <v>0</v>
      </c>
      <c r="AH255" s="28">
        <f>IF(AQ255="0",BJ255,0)</f>
        <v>0</v>
      </c>
      <c r="AI255" s="10" t="s">
        <v>236</v>
      </c>
      <c r="AJ255" s="28">
        <f>IF(AN255=0,J255,0)</f>
        <v>0</v>
      </c>
      <c r="AK255" s="28">
        <f>IF(AN255=12,J255,0)</f>
        <v>0</v>
      </c>
      <c r="AL255" s="28">
        <f>IF(AN255=21,J255,0)</f>
        <v>0</v>
      </c>
      <c r="AN255" s="28">
        <v>21</v>
      </c>
      <c r="AO255" s="28">
        <f>G255*0</f>
        <v>0</v>
      </c>
      <c r="AP255" s="28">
        <f>G255*(1-0)</f>
        <v>0</v>
      </c>
      <c r="AQ255" s="30" t="s">
        <v>57</v>
      </c>
      <c r="AV255" s="28">
        <f>AW255+AX255</f>
        <v>0</v>
      </c>
      <c r="AW255" s="28">
        <f>F255*AO255</f>
        <v>0</v>
      </c>
      <c r="AX255" s="28">
        <f>F255*AP255</f>
        <v>0</v>
      </c>
      <c r="AY255" s="30" t="s">
        <v>474</v>
      </c>
      <c r="AZ255" s="30" t="s">
        <v>475</v>
      </c>
      <c r="BA255" s="10" t="s">
        <v>242</v>
      </c>
      <c r="BC255" s="28">
        <f>AW255+AX255</f>
        <v>0</v>
      </c>
      <c r="BD255" s="28">
        <f>G255/(100-BE255)*100</f>
        <v>0</v>
      </c>
      <c r="BE255" s="28">
        <v>0</v>
      </c>
      <c r="BF255" s="28">
        <f>255</f>
        <v>255</v>
      </c>
      <c r="BH255" s="28">
        <f>F255*AO255</f>
        <v>0</v>
      </c>
      <c r="BI255" s="28">
        <f>F255*AP255</f>
        <v>0</v>
      </c>
      <c r="BJ255" s="28">
        <f>F255*G255</f>
        <v>0</v>
      </c>
      <c r="BK255" s="28"/>
      <c r="BL255" s="28">
        <v>31</v>
      </c>
      <c r="BW255" s="28">
        <v>21</v>
      </c>
    </row>
    <row r="256" spans="1:75" x14ac:dyDescent="0.25">
      <c r="A256" s="31"/>
      <c r="C256" s="32" t="s">
        <v>518</v>
      </c>
      <c r="D256" s="32" t="s">
        <v>52</v>
      </c>
      <c r="F256" s="33">
        <v>474.24</v>
      </c>
      <c r="K256" s="34"/>
    </row>
    <row r="257" spans="1:75" x14ac:dyDescent="0.25">
      <c r="A257" s="31"/>
      <c r="C257" s="32" t="s">
        <v>519</v>
      </c>
      <c r="D257" s="32" t="s">
        <v>52</v>
      </c>
      <c r="F257" s="33">
        <v>4.375</v>
      </c>
      <c r="K257" s="34"/>
    </row>
    <row r="258" spans="1:75" x14ac:dyDescent="0.25">
      <c r="A258" s="31"/>
      <c r="C258" s="32" t="s">
        <v>520</v>
      </c>
      <c r="D258" s="32" t="s">
        <v>52</v>
      </c>
      <c r="F258" s="33">
        <v>9.2483000000000004</v>
      </c>
      <c r="K258" s="34"/>
    </row>
    <row r="259" spans="1:75" x14ac:dyDescent="0.25">
      <c r="A259" s="31"/>
      <c r="C259" s="32" t="s">
        <v>521</v>
      </c>
      <c r="D259" s="32" t="s">
        <v>522</v>
      </c>
      <c r="F259" s="33">
        <v>-16.2</v>
      </c>
      <c r="K259" s="34"/>
    </row>
    <row r="260" spans="1:75" ht="27" customHeight="1" x14ac:dyDescent="0.25">
      <c r="A260" s="2" t="s">
        <v>523</v>
      </c>
      <c r="B260" s="3" t="s">
        <v>494</v>
      </c>
      <c r="C260" s="83" t="s">
        <v>524</v>
      </c>
      <c r="D260" s="80"/>
      <c r="E260" s="3" t="s">
        <v>148</v>
      </c>
      <c r="F260" s="28">
        <v>471.66329999999999</v>
      </c>
      <c r="G260" s="28">
        <v>0</v>
      </c>
      <c r="H260" s="28">
        <f>F260*AO260</f>
        <v>0</v>
      </c>
      <c r="I260" s="28">
        <f>F260*AP260</f>
        <v>0</v>
      </c>
      <c r="J260" s="28">
        <f>F260*G260</f>
        <v>0</v>
      </c>
      <c r="K260" s="29" t="s">
        <v>61</v>
      </c>
      <c r="Z260" s="28">
        <f>IF(AQ260="5",BJ260,0)</f>
        <v>0</v>
      </c>
      <c r="AB260" s="28">
        <f>IF(AQ260="1",BH260,0)</f>
        <v>0</v>
      </c>
      <c r="AC260" s="28">
        <f>IF(AQ260="1",BI260,0)</f>
        <v>0</v>
      </c>
      <c r="AD260" s="28">
        <f>IF(AQ260="7",BH260,0)</f>
        <v>0</v>
      </c>
      <c r="AE260" s="28">
        <f>IF(AQ260="7",BI260,0)</f>
        <v>0</v>
      </c>
      <c r="AF260" s="28">
        <f>IF(AQ260="2",BH260,0)</f>
        <v>0</v>
      </c>
      <c r="AG260" s="28">
        <f>IF(AQ260="2",BI260,0)</f>
        <v>0</v>
      </c>
      <c r="AH260" s="28">
        <f>IF(AQ260="0",BJ260,0)</f>
        <v>0</v>
      </c>
      <c r="AI260" s="10" t="s">
        <v>236</v>
      </c>
      <c r="AJ260" s="28">
        <f>IF(AN260=0,J260,0)</f>
        <v>0</v>
      </c>
      <c r="AK260" s="28">
        <f>IF(AN260=12,J260,0)</f>
        <v>0</v>
      </c>
      <c r="AL260" s="28">
        <f>IF(AN260=21,J260,0)</f>
        <v>0</v>
      </c>
      <c r="AN260" s="28">
        <v>21</v>
      </c>
      <c r="AO260" s="28">
        <f>G260*1</f>
        <v>0</v>
      </c>
      <c r="AP260" s="28">
        <f>G260*(1-1)</f>
        <v>0</v>
      </c>
      <c r="AQ260" s="30" t="s">
        <v>57</v>
      </c>
      <c r="AV260" s="28">
        <f>AW260+AX260</f>
        <v>0</v>
      </c>
      <c r="AW260" s="28">
        <f>F260*AO260</f>
        <v>0</v>
      </c>
      <c r="AX260" s="28">
        <f>F260*AP260</f>
        <v>0</v>
      </c>
      <c r="AY260" s="30" t="s">
        <v>474</v>
      </c>
      <c r="AZ260" s="30" t="s">
        <v>475</v>
      </c>
      <c r="BA260" s="10" t="s">
        <v>242</v>
      </c>
      <c r="BC260" s="28">
        <f>AW260+AX260</f>
        <v>0</v>
      </c>
      <c r="BD260" s="28">
        <f>G260/(100-BE260)*100</f>
        <v>0</v>
      </c>
      <c r="BE260" s="28">
        <v>0</v>
      </c>
      <c r="BF260" s="28">
        <f>260</f>
        <v>260</v>
      </c>
      <c r="BH260" s="28">
        <f>F260*AO260</f>
        <v>0</v>
      </c>
      <c r="BI260" s="28">
        <f>F260*AP260</f>
        <v>0</v>
      </c>
      <c r="BJ260" s="28">
        <f>F260*G260</f>
        <v>0</v>
      </c>
      <c r="BK260" s="28"/>
      <c r="BL260" s="28">
        <v>31</v>
      </c>
      <c r="BW260" s="28">
        <v>21</v>
      </c>
    </row>
    <row r="261" spans="1:75" x14ac:dyDescent="0.25">
      <c r="A261" s="31"/>
      <c r="C261" s="32" t="s">
        <v>525</v>
      </c>
      <c r="D261" s="32" t="s">
        <v>526</v>
      </c>
      <c r="F261" s="33">
        <v>458.04</v>
      </c>
      <c r="K261" s="34"/>
    </row>
    <row r="262" spans="1:75" x14ac:dyDescent="0.25">
      <c r="A262" s="31"/>
      <c r="C262" s="32" t="s">
        <v>519</v>
      </c>
      <c r="D262" s="32" t="s">
        <v>527</v>
      </c>
      <c r="F262" s="33">
        <v>4.375</v>
      </c>
      <c r="K262" s="34"/>
    </row>
    <row r="263" spans="1:75" x14ac:dyDescent="0.25">
      <c r="A263" s="31"/>
      <c r="C263" s="32" t="s">
        <v>520</v>
      </c>
      <c r="D263" s="32" t="s">
        <v>52</v>
      </c>
      <c r="F263" s="33">
        <v>9.2483000000000004</v>
      </c>
      <c r="K263" s="34"/>
    </row>
    <row r="264" spans="1:75" ht="13.5" customHeight="1" x14ac:dyDescent="0.25">
      <c r="A264" s="2" t="s">
        <v>528</v>
      </c>
      <c r="B264" s="3" t="s">
        <v>529</v>
      </c>
      <c r="C264" s="83" t="s">
        <v>530</v>
      </c>
      <c r="D264" s="80"/>
      <c r="E264" s="3" t="s">
        <v>531</v>
      </c>
      <c r="F264" s="28">
        <v>1</v>
      </c>
      <c r="G264" s="28">
        <v>0</v>
      </c>
      <c r="H264" s="28">
        <f>F264*AO264</f>
        <v>0</v>
      </c>
      <c r="I264" s="28">
        <f>F264*AP264</f>
        <v>0</v>
      </c>
      <c r="J264" s="28">
        <f>F264*G264</f>
        <v>0</v>
      </c>
      <c r="K264" s="29" t="s">
        <v>61</v>
      </c>
      <c r="Z264" s="28">
        <f>IF(AQ264="5",BJ264,0)</f>
        <v>0</v>
      </c>
      <c r="AB264" s="28">
        <f>IF(AQ264="1",BH264,0)</f>
        <v>0</v>
      </c>
      <c r="AC264" s="28">
        <f>IF(AQ264="1",BI264,0)</f>
        <v>0</v>
      </c>
      <c r="AD264" s="28">
        <f>IF(AQ264="7",BH264,0)</f>
        <v>0</v>
      </c>
      <c r="AE264" s="28">
        <f>IF(AQ264="7",BI264,0)</f>
        <v>0</v>
      </c>
      <c r="AF264" s="28">
        <f>IF(AQ264="2",BH264,0)</f>
        <v>0</v>
      </c>
      <c r="AG264" s="28">
        <f>IF(AQ264="2",BI264,0)</f>
        <v>0</v>
      </c>
      <c r="AH264" s="28">
        <f>IF(AQ264="0",BJ264,0)</f>
        <v>0</v>
      </c>
      <c r="AI264" s="10" t="s">
        <v>236</v>
      </c>
      <c r="AJ264" s="28">
        <f>IF(AN264=0,J264,0)</f>
        <v>0</v>
      </c>
      <c r="AK264" s="28">
        <f>IF(AN264=12,J264,0)</f>
        <v>0</v>
      </c>
      <c r="AL264" s="28">
        <f>IF(AN264=21,J264,0)</f>
        <v>0</v>
      </c>
      <c r="AN264" s="28">
        <v>21</v>
      </c>
      <c r="AO264" s="28">
        <f>G264*0.014084507</f>
        <v>0</v>
      </c>
      <c r="AP264" s="28">
        <f>G264*(1-0.014084507)</f>
        <v>0</v>
      </c>
      <c r="AQ264" s="30" t="s">
        <v>57</v>
      </c>
      <c r="AV264" s="28">
        <f>AW264+AX264</f>
        <v>0</v>
      </c>
      <c r="AW264" s="28">
        <f>F264*AO264</f>
        <v>0</v>
      </c>
      <c r="AX264" s="28">
        <f>F264*AP264</f>
        <v>0</v>
      </c>
      <c r="AY264" s="30" t="s">
        <v>474</v>
      </c>
      <c r="AZ264" s="30" t="s">
        <v>475</v>
      </c>
      <c r="BA264" s="10" t="s">
        <v>242</v>
      </c>
      <c r="BC264" s="28">
        <f>AW264+AX264</f>
        <v>0</v>
      </c>
      <c r="BD264" s="28">
        <f>G264/(100-BE264)*100</f>
        <v>0</v>
      </c>
      <c r="BE264" s="28">
        <v>0</v>
      </c>
      <c r="BF264" s="28">
        <f>264</f>
        <v>264</v>
      </c>
      <c r="BH264" s="28">
        <f>F264*AO264</f>
        <v>0</v>
      </c>
      <c r="BI264" s="28">
        <f>F264*AP264</f>
        <v>0</v>
      </c>
      <c r="BJ264" s="28">
        <f>F264*G264</f>
        <v>0</v>
      </c>
      <c r="BK264" s="28"/>
      <c r="BL264" s="28">
        <v>31</v>
      </c>
      <c r="BW264" s="28">
        <v>21</v>
      </c>
    </row>
    <row r="265" spans="1:75" ht="13.5" customHeight="1" x14ac:dyDescent="0.25">
      <c r="A265" s="2" t="s">
        <v>532</v>
      </c>
      <c r="B265" s="3" t="s">
        <v>533</v>
      </c>
      <c r="C265" s="83" t="s">
        <v>534</v>
      </c>
      <c r="D265" s="80"/>
      <c r="E265" s="3" t="s">
        <v>78</v>
      </c>
      <c r="F265" s="28">
        <v>20.25</v>
      </c>
      <c r="G265" s="28">
        <v>0</v>
      </c>
      <c r="H265" s="28">
        <f>F265*AO265</f>
        <v>0</v>
      </c>
      <c r="I265" s="28">
        <f>F265*AP265</f>
        <v>0</v>
      </c>
      <c r="J265" s="28">
        <f>F265*G265</f>
        <v>0</v>
      </c>
      <c r="K265" s="29" t="s">
        <v>61</v>
      </c>
      <c r="Z265" s="28">
        <f>IF(AQ265="5",BJ265,0)</f>
        <v>0</v>
      </c>
      <c r="AB265" s="28">
        <f>IF(AQ265="1",BH265,0)</f>
        <v>0</v>
      </c>
      <c r="AC265" s="28">
        <f>IF(AQ265="1",BI265,0)</f>
        <v>0</v>
      </c>
      <c r="AD265" s="28">
        <f>IF(AQ265="7",BH265,0)</f>
        <v>0</v>
      </c>
      <c r="AE265" s="28">
        <f>IF(AQ265="7",BI265,0)</f>
        <v>0</v>
      </c>
      <c r="AF265" s="28">
        <f>IF(AQ265="2",BH265,0)</f>
        <v>0</v>
      </c>
      <c r="AG265" s="28">
        <f>IF(AQ265="2",BI265,0)</f>
        <v>0</v>
      </c>
      <c r="AH265" s="28">
        <f>IF(AQ265="0",BJ265,0)</f>
        <v>0</v>
      </c>
      <c r="AI265" s="10" t="s">
        <v>236</v>
      </c>
      <c r="AJ265" s="28">
        <f>IF(AN265=0,J265,0)</f>
        <v>0</v>
      </c>
      <c r="AK265" s="28">
        <f>IF(AN265=12,J265,0)</f>
        <v>0</v>
      </c>
      <c r="AL265" s="28">
        <f>IF(AN265=21,J265,0)</f>
        <v>0</v>
      </c>
      <c r="AN265" s="28">
        <v>21</v>
      </c>
      <c r="AO265" s="28">
        <f>G265*0.111111111</f>
        <v>0</v>
      </c>
      <c r="AP265" s="28">
        <f>G265*(1-0.111111111)</f>
        <v>0</v>
      </c>
      <c r="AQ265" s="30" t="s">
        <v>57</v>
      </c>
      <c r="AV265" s="28">
        <f>AW265+AX265</f>
        <v>0</v>
      </c>
      <c r="AW265" s="28">
        <f>F265*AO265</f>
        <v>0</v>
      </c>
      <c r="AX265" s="28">
        <f>F265*AP265</f>
        <v>0</v>
      </c>
      <c r="AY265" s="30" t="s">
        <v>474</v>
      </c>
      <c r="AZ265" s="30" t="s">
        <v>475</v>
      </c>
      <c r="BA265" s="10" t="s">
        <v>242</v>
      </c>
      <c r="BC265" s="28">
        <f>AW265+AX265</f>
        <v>0</v>
      </c>
      <c r="BD265" s="28">
        <f>G265/(100-BE265)*100</f>
        <v>0</v>
      </c>
      <c r="BE265" s="28">
        <v>0</v>
      </c>
      <c r="BF265" s="28">
        <f>265</f>
        <v>265</v>
      </c>
      <c r="BH265" s="28">
        <f>F265*AO265</f>
        <v>0</v>
      </c>
      <c r="BI265" s="28">
        <f>F265*AP265</f>
        <v>0</v>
      </c>
      <c r="BJ265" s="28">
        <f>F265*G265</f>
        <v>0</v>
      </c>
      <c r="BK265" s="28"/>
      <c r="BL265" s="28">
        <v>31</v>
      </c>
      <c r="BW265" s="28">
        <v>21</v>
      </c>
    </row>
    <row r="266" spans="1:75" x14ac:dyDescent="0.25">
      <c r="A266" s="31"/>
      <c r="C266" s="32" t="s">
        <v>535</v>
      </c>
      <c r="D266" s="32" t="s">
        <v>52</v>
      </c>
      <c r="F266" s="33">
        <v>20.25</v>
      </c>
      <c r="K266" s="34"/>
    </row>
    <row r="267" spans="1:75" ht="13.5" customHeight="1" x14ac:dyDescent="0.25">
      <c r="A267" s="2" t="s">
        <v>536</v>
      </c>
      <c r="B267" s="3" t="s">
        <v>537</v>
      </c>
      <c r="C267" s="83" t="s">
        <v>538</v>
      </c>
      <c r="D267" s="80"/>
      <c r="E267" s="3" t="s">
        <v>60</v>
      </c>
      <c r="F267" s="28">
        <v>2.6324999999999998</v>
      </c>
      <c r="G267" s="28">
        <v>0</v>
      </c>
      <c r="H267" s="28">
        <f>F267*AO267</f>
        <v>0</v>
      </c>
      <c r="I267" s="28">
        <f>F267*AP267</f>
        <v>0</v>
      </c>
      <c r="J267" s="28">
        <f>F267*G267</f>
        <v>0</v>
      </c>
      <c r="K267" s="29" t="s">
        <v>61</v>
      </c>
      <c r="Z267" s="28">
        <f>IF(AQ267="5",BJ267,0)</f>
        <v>0</v>
      </c>
      <c r="AB267" s="28">
        <f>IF(AQ267="1",BH267,0)</f>
        <v>0</v>
      </c>
      <c r="AC267" s="28">
        <f>IF(AQ267="1",BI267,0)</f>
        <v>0</v>
      </c>
      <c r="AD267" s="28">
        <f>IF(AQ267="7",BH267,0)</f>
        <v>0</v>
      </c>
      <c r="AE267" s="28">
        <f>IF(AQ267="7",BI267,0)</f>
        <v>0</v>
      </c>
      <c r="AF267" s="28">
        <f>IF(AQ267="2",BH267,0)</f>
        <v>0</v>
      </c>
      <c r="AG267" s="28">
        <f>IF(AQ267="2",BI267,0)</f>
        <v>0</v>
      </c>
      <c r="AH267" s="28">
        <f>IF(AQ267="0",BJ267,0)</f>
        <v>0</v>
      </c>
      <c r="AI267" s="10" t="s">
        <v>236</v>
      </c>
      <c r="AJ267" s="28">
        <f>IF(AN267=0,J267,0)</f>
        <v>0</v>
      </c>
      <c r="AK267" s="28">
        <f>IF(AN267=12,J267,0)</f>
        <v>0</v>
      </c>
      <c r="AL267" s="28">
        <f>IF(AN267=21,J267,0)</f>
        <v>0</v>
      </c>
      <c r="AN267" s="28">
        <v>21</v>
      </c>
      <c r="AO267" s="28">
        <f>G267*0.859704399</f>
        <v>0</v>
      </c>
      <c r="AP267" s="28">
        <f>G267*(1-0.859704399)</f>
        <v>0</v>
      </c>
      <c r="AQ267" s="30" t="s">
        <v>57</v>
      </c>
      <c r="AV267" s="28">
        <f>AW267+AX267</f>
        <v>0</v>
      </c>
      <c r="AW267" s="28">
        <f>F267*AO267</f>
        <v>0</v>
      </c>
      <c r="AX267" s="28">
        <f>F267*AP267</f>
        <v>0</v>
      </c>
      <c r="AY267" s="30" t="s">
        <v>474</v>
      </c>
      <c r="AZ267" s="30" t="s">
        <v>475</v>
      </c>
      <c r="BA267" s="10" t="s">
        <v>242</v>
      </c>
      <c r="BC267" s="28">
        <f>AW267+AX267</f>
        <v>0</v>
      </c>
      <c r="BD267" s="28">
        <f>G267/(100-BE267)*100</f>
        <v>0</v>
      </c>
      <c r="BE267" s="28">
        <v>0</v>
      </c>
      <c r="BF267" s="28">
        <f>267</f>
        <v>267</v>
      </c>
      <c r="BH267" s="28">
        <f>F267*AO267</f>
        <v>0</v>
      </c>
      <c r="BI267" s="28">
        <f>F267*AP267</f>
        <v>0</v>
      </c>
      <c r="BJ267" s="28">
        <f>F267*G267</f>
        <v>0</v>
      </c>
      <c r="BK267" s="28"/>
      <c r="BL267" s="28">
        <v>31</v>
      </c>
      <c r="BW267" s="28">
        <v>21</v>
      </c>
    </row>
    <row r="268" spans="1:75" x14ac:dyDescent="0.25">
      <c r="A268" s="31"/>
      <c r="C268" s="32" t="s">
        <v>539</v>
      </c>
      <c r="D268" s="32" t="s">
        <v>540</v>
      </c>
      <c r="F268" s="33">
        <v>2.6324999999999998</v>
      </c>
      <c r="K268" s="34"/>
    </row>
    <row r="269" spans="1:75" ht="13.5" customHeight="1" x14ac:dyDescent="0.25">
      <c r="A269" s="2" t="s">
        <v>541</v>
      </c>
      <c r="B269" s="3" t="s">
        <v>542</v>
      </c>
      <c r="C269" s="83" t="s">
        <v>543</v>
      </c>
      <c r="D269" s="80"/>
      <c r="E269" s="3" t="s">
        <v>148</v>
      </c>
      <c r="F269" s="28">
        <v>17.55</v>
      </c>
      <c r="G269" s="28">
        <v>0</v>
      </c>
      <c r="H269" s="28">
        <f>F269*AO269</f>
        <v>0</v>
      </c>
      <c r="I269" s="28">
        <f>F269*AP269</f>
        <v>0</v>
      </c>
      <c r="J269" s="28">
        <f>F269*G269</f>
        <v>0</v>
      </c>
      <c r="K269" s="29" t="s">
        <v>61</v>
      </c>
      <c r="Z269" s="28">
        <f>IF(AQ269="5",BJ269,0)</f>
        <v>0</v>
      </c>
      <c r="AB269" s="28">
        <f>IF(AQ269="1",BH269,0)</f>
        <v>0</v>
      </c>
      <c r="AC269" s="28">
        <f>IF(AQ269="1",BI269,0)</f>
        <v>0</v>
      </c>
      <c r="AD269" s="28">
        <f>IF(AQ269="7",BH269,0)</f>
        <v>0</v>
      </c>
      <c r="AE269" s="28">
        <f>IF(AQ269="7",BI269,0)</f>
        <v>0</v>
      </c>
      <c r="AF269" s="28">
        <f>IF(AQ269="2",BH269,0)</f>
        <v>0</v>
      </c>
      <c r="AG269" s="28">
        <f>IF(AQ269="2",BI269,0)</f>
        <v>0</v>
      </c>
      <c r="AH269" s="28">
        <f>IF(AQ269="0",BJ269,0)</f>
        <v>0</v>
      </c>
      <c r="AI269" s="10" t="s">
        <v>236</v>
      </c>
      <c r="AJ269" s="28">
        <f>IF(AN269=0,J269,0)</f>
        <v>0</v>
      </c>
      <c r="AK269" s="28">
        <f>IF(AN269=12,J269,0)</f>
        <v>0</v>
      </c>
      <c r="AL269" s="28">
        <f>IF(AN269=21,J269,0)</f>
        <v>0</v>
      </c>
      <c r="AN269" s="28">
        <v>21</v>
      </c>
      <c r="AO269" s="28">
        <f>G269*0.560997096</f>
        <v>0</v>
      </c>
      <c r="AP269" s="28">
        <f>G269*(1-0.560997096)</f>
        <v>0</v>
      </c>
      <c r="AQ269" s="30" t="s">
        <v>57</v>
      </c>
      <c r="AV269" s="28">
        <f>AW269+AX269</f>
        <v>0</v>
      </c>
      <c r="AW269" s="28">
        <f>F269*AO269</f>
        <v>0</v>
      </c>
      <c r="AX269" s="28">
        <f>F269*AP269</f>
        <v>0</v>
      </c>
      <c r="AY269" s="30" t="s">
        <v>474</v>
      </c>
      <c r="AZ269" s="30" t="s">
        <v>475</v>
      </c>
      <c r="BA269" s="10" t="s">
        <v>242</v>
      </c>
      <c r="BC269" s="28">
        <f>AW269+AX269</f>
        <v>0</v>
      </c>
      <c r="BD269" s="28">
        <f>G269/(100-BE269)*100</f>
        <v>0</v>
      </c>
      <c r="BE269" s="28">
        <v>0</v>
      </c>
      <c r="BF269" s="28">
        <f>269</f>
        <v>269</v>
      </c>
      <c r="BH269" s="28">
        <f>F269*AO269</f>
        <v>0</v>
      </c>
      <c r="BI269" s="28">
        <f>F269*AP269</f>
        <v>0</v>
      </c>
      <c r="BJ269" s="28">
        <f>F269*G269</f>
        <v>0</v>
      </c>
      <c r="BK269" s="28"/>
      <c r="BL269" s="28">
        <v>31</v>
      </c>
      <c r="BW269" s="28">
        <v>21</v>
      </c>
    </row>
    <row r="270" spans="1:75" x14ac:dyDescent="0.25">
      <c r="A270" s="31"/>
      <c r="C270" s="32" t="s">
        <v>544</v>
      </c>
      <c r="D270" s="32" t="s">
        <v>52</v>
      </c>
      <c r="F270" s="33">
        <v>17.55</v>
      </c>
      <c r="K270" s="34"/>
    </row>
    <row r="271" spans="1:75" ht="13.5" customHeight="1" x14ac:dyDescent="0.25">
      <c r="A271" s="2" t="s">
        <v>545</v>
      </c>
      <c r="B271" s="3" t="s">
        <v>546</v>
      </c>
      <c r="C271" s="83" t="s">
        <v>547</v>
      </c>
      <c r="D271" s="80"/>
      <c r="E271" s="3" t="s">
        <v>148</v>
      </c>
      <c r="F271" s="28">
        <v>23.4</v>
      </c>
      <c r="G271" s="28">
        <v>0</v>
      </c>
      <c r="H271" s="28">
        <f>F271*AO271</f>
        <v>0</v>
      </c>
      <c r="I271" s="28">
        <f>F271*AP271</f>
        <v>0</v>
      </c>
      <c r="J271" s="28">
        <f>F271*G271</f>
        <v>0</v>
      </c>
      <c r="K271" s="29" t="s">
        <v>61</v>
      </c>
      <c r="Z271" s="28">
        <f>IF(AQ271="5",BJ271,0)</f>
        <v>0</v>
      </c>
      <c r="AB271" s="28">
        <f>IF(AQ271="1",BH271,0)</f>
        <v>0</v>
      </c>
      <c r="AC271" s="28">
        <f>IF(AQ271="1",BI271,0)</f>
        <v>0</v>
      </c>
      <c r="AD271" s="28">
        <f>IF(AQ271="7",BH271,0)</f>
        <v>0</v>
      </c>
      <c r="AE271" s="28">
        <f>IF(AQ271="7",BI271,0)</f>
        <v>0</v>
      </c>
      <c r="AF271" s="28">
        <f>IF(AQ271="2",BH271,0)</f>
        <v>0</v>
      </c>
      <c r="AG271" s="28">
        <f>IF(AQ271="2",BI271,0)</f>
        <v>0</v>
      </c>
      <c r="AH271" s="28">
        <f>IF(AQ271="0",BJ271,0)</f>
        <v>0</v>
      </c>
      <c r="AI271" s="10" t="s">
        <v>236</v>
      </c>
      <c r="AJ271" s="28">
        <f>IF(AN271=0,J271,0)</f>
        <v>0</v>
      </c>
      <c r="AK271" s="28">
        <f>IF(AN271=12,J271,0)</f>
        <v>0</v>
      </c>
      <c r="AL271" s="28">
        <f>IF(AN271=21,J271,0)</f>
        <v>0</v>
      </c>
      <c r="AN271" s="28">
        <v>21</v>
      </c>
      <c r="AO271" s="28">
        <f>G271*0</f>
        <v>0</v>
      </c>
      <c r="AP271" s="28">
        <f>G271*(1-0)</f>
        <v>0</v>
      </c>
      <c r="AQ271" s="30" t="s">
        <v>57</v>
      </c>
      <c r="AV271" s="28">
        <f>AW271+AX271</f>
        <v>0</v>
      </c>
      <c r="AW271" s="28">
        <f>F271*AO271</f>
        <v>0</v>
      </c>
      <c r="AX271" s="28">
        <f>F271*AP271</f>
        <v>0</v>
      </c>
      <c r="AY271" s="30" t="s">
        <v>474</v>
      </c>
      <c r="AZ271" s="30" t="s">
        <v>475</v>
      </c>
      <c r="BA271" s="10" t="s">
        <v>242</v>
      </c>
      <c r="BC271" s="28">
        <f>AW271+AX271</f>
        <v>0</v>
      </c>
      <c r="BD271" s="28">
        <f>G271/(100-BE271)*100</f>
        <v>0</v>
      </c>
      <c r="BE271" s="28">
        <v>0</v>
      </c>
      <c r="BF271" s="28">
        <f>271</f>
        <v>271</v>
      </c>
      <c r="BH271" s="28">
        <f>F271*AO271</f>
        <v>0</v>
      </c>
      <c r="BI271" s="28">
        <f>F271*AP271</f>
        <v>0</v>
      </c>
      <c r="BJ271" s="28">
        <f>F271*G271</f>
        <v>0</v>
      </c>
      <c r="BK271" s="28"/>
      <c r="BL271" s="28">
        <v>31</v>
      </c>
      <c r="BW271" s="28">
        <v>21</v>
      </c>
    </row>
    <row r="272" spans="1:75" x14ac:dyDescent="0.25">
      <c r="A272" s="24" t="s">
        <v>52</v>
      </c>
      <c r="B272" s="25" t="s">
        <v>245</v>
      </c>
      <c r="C272" s="139" t="s">
        <v>548</v>
      </c>
      <c r="D272" s="140"/>
      <c r="E272" s="26" t="s">
        <v>4</v>
      </c>
      <c r="F272" s="26" t="s">
        <v>4</v>
      </c>
      <c r="G272" s="26" t="s">
        <v>4</v>
      </c>
      <c r="H272" s="1">
        <f>SUM(H273:H290)</f>
        <v>0</v>
      </c>
      <c r="I272" s="1">
        <f>SUM(I273:I290)</f>
        <v>0</v>
      </c>
      <c r="J272" s="1">
        <f>SUM(J273:J290)</f>
        <v>0</v>
      </c>
      <c r="K272" s="27" t="s">
        <v>52</v>
      </c>
      <c r="AI272" s="10" t="s">
        <v>236</v>
      </c>
      <c r="AS272" s="1">
        <f>SUM(AJ273:AJ290)</f>
        <v>0</v>
      </c>
      <c r="AT272" s="1">
        <f>SUM(AK273:AK290)</f>
        <v>0</v>
      </c>
      <c r="AU272" s="1">
        <f>SUM(AL273:AL290)</f>
        <v>0</v>
      </c>
    </row>
    <row r="273" spans="1:75" ht="13.5" customHeight="1" x14ac:dyDescent="0.25">
      <c r="A273" s="2" t="s">
        <v>549</v>
      </c>
      <c r="B273" s="3" t="s">
        <v>550</v>
      </c>
      <c r="C273" s="83" t="s">
        <v>551</v>
      </c>
      <c r="D273" s="80"/>
      <c r="E273" s="3" t="s">
        <v>148</v>
      </c>
      <c r="F273" s="28">
        <v>17.925000000000001</v>
      </c>
      <c r="G273" s="28">
        <v>0</v>
      </c>
      <c r="H273" s="28">
        <f>F273*AO273</f>
        <v>0</v>
      </c>
      <c r="I273" s="28">
        <f>F273*AP273</f>
        <v>0</v>
      </c>
      <c r="J273" s="28">
        <f>F273*G273</f>
        <v>0</v>
      </c>
      <c r="K273" s="29" t="s">
        <v>61</v>
      </c>
      <c r="Z273" s="28">
        <f>IF(AQ273="5",BJ273,0)</f>
        <v>0</v>
      </c>
      <c r="AB273" s="28">
        <f>IF(AQ273="1",BH273,0)</f>
        <v>0</v>
      </c>
      <c r="AC273" s="28">
        <f>IF(AQ273="1",BI273,0)</f>
        <v>0</v>
      </c>
      <c r="AD273" s="28">
        <f>IF(AQ273="7",BH273,0)</f>
        <v>0</v>
      </c>
      <c r="AE273" s="28">
        <f>IF(AQ273="7",BI273,0)</f>
        <v>0</v>
      </c>
      <c r="AF273" s="28">
        <f>IF(AQ273="2",BH273,0)</f>
        <v>0</v>
      </c>
      <c r="AG273" s="28">
        <f>IF(AQ273="2",BI273,0)</f>
        <v>0</v>
      </c>
      <c r="AH273" s="28">
        <f>IF(AQ273="0",BJ273,0)</f>
        <v>0</v>
      </c>
      <c r="AI273" s="10" t="s">
        <v>236</v>
      </c>
      <c r="AJ273" s="28">
        <f>IF(AN273=0,J273,0)</f>
        <v>0</v>
      </c>
      <c r="AK273" s="28">
        <f>IF(AN273=12,J273,0)</f>
        <v>0</v>
      </c>
      <c r="AL273" s="28">
        <f>IF(AN273=21,J273,0)</f>
        <v>0</v>
      </c>
      <c r="AN273" s="28">
        <v>21</v>
      </c>
      <c r="AO273" s="28">
        <f>G273*0.790117729</f>
        <v>0</v>
      </c>
      <c r="AP273" s="28">
        <f>G273*(1-0.790117729)</f>
        <v>0</v>
      </c>
      <c r="AQ273" s="30" t="s">
        <v>57</v>
      </c>
      <c r="AV273" s="28">
        <f>AW273+AX273</f>
        <v>0</v>
      </c>
      <c r="AW273" s="28">
        <f>F273*AO273</f>
        <v>0</v>
      </c>
      <c r="AX273" s="28">
        <f>F273*AP273</f>
        <v>0</v>
      </c>
      <c r="AY273" s="30" t="s">
        <v>552</v>
      </c>
      <c r="AZ273" s="30" t="s">
        <v>475</v>
      </c>
      <c r="BA273" s="10" t="s">
        <v>242</v>
      </c>
      <c r="BC273" s="28">
        <f>AW273+AX273</f>
        <v>0</v>
      </c>
      <c r="BD273" s="28">
        <f>G273/(100-BE273)*100</f>
        <v>0</v>
      </c>
      <c r="BE273" s="28">
        <v>0</v>
      </c>
      <c r="BF273" s="28">
        <f>273</f>
        <v>273</v>
      </c>
      <c r="BH273" s="28">
        <f>F273*AO273</f>
        <v>0</v>
      </c>
      <c r="BI273" s="28">
        <f>F273*AP273</f>
        <v>0</v>
      </c>
      <c r="BJ273" s="28">
        <f>F273*G273</f>
        <v>0</v>
      </c>
      <c r="BK273" s="28"/>
      <c r="BL273" s="28">
        <v>34</v>
      </c>
      <c r="BW273" s="28">
        <v>21</v>
      </c>
    </row>
    <row r="274" spans="1:75" x14ac:dyDescent="0.25">
      <c r="A274" s="31"/>
      <c r="C274" s="32" t="s">
        <v>553</v>
      </c>
      <c r="D274" s="32" t="s">
        <v>52</v>
      </c>
      <c r="F274" s="33">
        <v>4.5250000000000004</v>
      </c>
      <c r="K274" s="34"/>
    </row>
    <row r="275" spans="1:75" x14ac:dyDescent="0.25">
      <c r="A275" s="31"/>
      <c r="C275" s="32" t="s">
        <v>554</v>
      </c>
      <c r="D275" s="32" t="s">
        <v>52</v>
      </c>
      <c r="F275" s="33">
        <v>5</v>
      </c>
      <c r="K275" s="34"/>
    </row>
    <row r="276" spans="1:75" x14ac:dyDescent="0.25">
      <c r="A276" s="31"/>
      <c r="C276" s="32" t="s">
        <v>555</v>
      </c>
      <c r="D276" s="32" t="s">
        <v>52</v>
      </c>
      <c r="F276" s="33">
        <v>3.4</v>
      </c>
      <c r="K276" s="34"/>
    </row>
    <row r="277" spans="1:75" x14ac:dyDescent="0.25">
      <c r="A277" s="31"/>
      <c r="C277" s="32" t="s">
        <v>554</v>
      </c>
      <c r="D277" s="32" t="s">
        <v>52</v>
      </c>
      <c r="F277" s="33">
        <v>5</v>
      </c>
      <c r="K277" s="34"/>
    </row>
    <row r="278" spans="1:75" ht="13.5" customHeight="1" x14ac:dyDescent="0.25">
      <c r="A278" s="2" t="s">
        <v>556</v>
      </c>
      <c r="B278" s="3" t="s">
        <v>557</v>
      </c>
      <c r="C278" s="83" t="s">
        <v>558</v>
      </c>
      <c r="D278" s="80"/>
      <c r="E278" s="3" t="s">
        <v>148</v>
      </c>
      <c r="F278" s="28">
        <v>79.98</v>
      </c>
      <c r="G278" s="28">
        <v>0</v>
      </c>
      <c r="H278" s="28">
        <f>F278*AO278</f>
        <v>0</v>
      </c>
      <c r="I278" s="28">
        <f>F278*AP278</f>
        <v>0</v>
      </c>
      <c r="J278" s="28">
        <f>F278*G278</f>
        <v>0</v>
      </c>
      <c r="K278" s="29" t="s">
        <v>61</v>
      </c>
      <c r="Z278" s="28">
        <f>IF(AQ278="5",BJ278,0)</f>
        <v>0</v>
      </c>
      <c r="AB278" s="28">
        <f>IF(AQ278="1",BH278,0)</f>
        <v>0</v>
      </c>
      <c r="AC278" s="28">
        <f>IF(AQ278="1",BI278,0)</f>
        <v>0</v>
      </c>
      <c r="AD278" s="28">
        <f>IF(AQ278="7",BH278,0)</f>
        <v>0</v>
      </c>
      <c r="AE278" s="28">
        <f>IF(AQ278="7",BI278,0)</f>
        <v>0</v>
      </c>
      <c r="AF278" s="28">
        <f>IF(AQ278="2",BH278,0)</f>
        <v>0</v>
      </c>
      <c r="AG278" s="28">
        <f>IF(AQ278="2",BI278,0)</f>
        <v>0</v>
      </c>
      <c r="AH278" s="28">
        <f>IF(AQ278="0",BJ278,0)</f>
        <v>0</v>
      </c>
      <c r="AI278" s="10" t="s">
        <v>236</v>
      </c>
      <c r="AJ278" s="28">
        <f>IF(AN278=0,J278,0)</f>
        <v>0</v>
      </c>
      <c r="AK278" s="28">
        <f>IF(AN278=12,J278,0)</f>
        <v>0</v>
      </c>
      <c r="AL278" s="28">
        <f>IF(AN278=21,J278,0)</f>
        <v>0</v>
      </c>
      <c r="AN278" s="28">
        <v>21</v>
      </c>
      <c r="AO278" s="28">
        <f>G278*0.783685623</f>
        <v>0</v>
      </c>
      <c r="AP278" s="28">
        <f>G278*(1-0.783685623)</f>
        <v>0</v>
      </c>
      <c r="AQ278" s="30" t="s">
        <v>57</v>
      </c>
      <c r="AV278" s="28">
        <f>AW278+AX278</f>
        <v>0</v>
      </c>
      <c r="AW278" s="28">
        <f>F278*AO278</f>
        <v>0</v>
      </c>
      <c r="AX278" s="28">
        <f>F278*AP278</f>
        <v>0</v>
      </c>
      <c r="AY278" s="30" t="s">
        <v>552</v>
      </c>
      <c r="AZ278" s="30" t="s">
        <v>475</v>
      </c>
      <c r="BA278" s="10" t="s">
        <v>242</v>
      </c>
      <c r="BC278" s="28">
        <f>AW278+AX278</f>
        <v>0</v>
      </c>
      <c r="BD278" s="28">
        <f>G278/(100-BE278)*100</f>
        <v>0</v>
      </c>
      <c r="BE278" s="28">
        <v>0</v>
      </c>
      <c r="BF278" s="28">
        <f>278</f>
        <v>278</v>
      </c>
      <c r="BH278" s="28">
        <f>F278*AO278</f>
        <v>0</v>
      </c>
      <c r="BI278" s="28">
        <f>F278*AP278</f>
        <v>0</v>
      </c>
      <c r="BJ278" s="28">
        <f>F278*G278</f>
        <v>0</v>
      </c>
      <c r="BK278" s="28"/>
      <c r="BL278" s="28">
        <v>34</v>
      </c>
      <c r="BW278" s="28">
        <v>21</v>
      </c>
    </row>
    <row r="279" spans="1:75" x14ac:dyDescent="0.25">
      <c r="A279" s="31"/>
      <c r="C279" s="32" t="s">
        <v>559</v>
      </c>
      <c r="D279" s="32" t="s">
        <v>560</v>
      </c>
      <c r="F279" s="33">
        <v>10.32</v>
      </c>
      <c r="K279" s="34"/>
    </row>
    <row r="280" spans="1:75" x14ac:dyDescent="0.25">
      <c r="A280" s="31"/>
      <c r="C280" s="32" t="s">
        <v>561</v>
      </c>
      <c r="D280" s="32" t="s">
        <v>52</v>
      </c>
      <c r="F280" s="33">
        <v>34.4</v>
      </c>
      <c r="K280" s="34"/>
    </row>
    <row r="281" spans="1:75" x14ac:dyDescent="0.25">
      <c r="A281" s="31"/>
      <c r="C281" s="32" t="s">
        <v>562</v>
      </c>
      <c r="D281" s="32" t="s">
        <v>52</v>
      </c>
      <c r="F281" s="33">
        <v>35.26</v>
      </c>
      <c r="K281" s="34"/>
    </row>
    <row r="282" spans="1:75" ht="13.5" customHeight="1" x14ac:dyDescent="0.25">
      <c r="A282" s="2" t="s">
        <v>563</v>
      </c>
      <c r="B282" s="3" t="s">
        <v>557</v>
      </c>
      <c r="C282" s="83" t="s">
        <v>564</v>
      </c>
      <c r="D282" s="80"/>
      <c r="E282" s="3" t="s">
        <v>148</v>
      </c>
      <c r="F282" s="28">
        <v>167.447</v>
      </c>
      <c r="G282" s="28">
        <v>0</v>
      </c>
      <c r="H282" s="28">
        <f>F282*AO282</f>
        <v>0</v>
      </c>
      <c r="I282" s="28">
        <f>F282*AP282</f>
        <v>0</v>
      </c>
      <c r="J282" s="28">
        <f>F282*G282</f>
        <v>0</v>
      </c>
      <c r="K282" s="29" t="s">
        <v>61</v>
      </c>
      <c r="Z282" s="28">
        <f>IF(AQ282="5",BJ282,0)</f>
        <v>0</v>
      </c>
      <c r="AB282" s="28">
        <f>IF(AQ282="1",BH282,0)</f>
        <v>0</v>
      </c>
      <c r="AC282" s="28">
        <f>IF(AQ282="1",BI282,0)</f>
        <v>0</v>
      </c>
      <c r="AD282" s="28">
        <f>IF(AQ282="7",BH282,0)</f>
        <v>0</v>
      </c>
      <c r="AE282" s="28">
        <f>IF(AQ282="7",BI282,0)</f>
        <v>0</v>
      </c>
      <c r="AF282" s="28">
        <f>IF(AQ282="2",BH282,0)</f>
        <v>0</v>
      </c>
      <c r="AG282" s="28">
        <f>IF(AQ282="2",BI282,0)</f>
        <v>0</v>
      </c>
      <c r="AH282" s="28">
        <f>IF(AQ282="0",BJ282,0)</f>
        <v>0</v>
      </c>
      <c r="AI282" s="10" t="s">
        <v>236</v>
      </c>
      <c r="AJ282" s="28">
        <f>IF(AN282=0,J282,0)</f>
        <v>0</v>
      </c>
      <c r="AK282" s="28">
        <f>IF(AN282=12,J282,0)</f>
        <v>0</v>
      </c>
      <c r="AL282" s="28">
        <f>IF(AN282=21,J282,0)</f>
        <v>0</v>
      </c>
      <c r="AN282" s="28">
        <v>21</v>
      </c>
      <c r="AO282" s="28">
        <f>G282*0.805517173</f>
        <v>0</v>
      </c>
      <c r="AP282" s="28">
        <f>G282*(1-0.805517173)</f>
        <v>0</v>
      </c>
      <c r="AQ282" s="30" t="s">
        <v>57</v>
      </c>
      <c r="AV282" s="28">
        <f>AW282+AX282</f>
        <v>0</v>
      </c>
      <c r="AW282" s="28">
        <f>F282*AO282</f>
        <v>0</v>
      </c>
      <c r="AX282" s="28">
        <f>F282*AP282</f>
        <v>0</v>
      </c>
      <c r="AY282" s="30" t="s">
        <v>552</v>
      </c>
      <c r="AZ282" s="30" t="s">
        <v>475</v>
      </c>
      <c r="BA282" s="10" t="s">
        <v>242</v>
      </c>
      <c r="BC282" s="28">
        <f>AW282+AX282</f>
        <v>0</v>
      </c>
      <c r="BD282" s="28">
        <f>G282/(100-BE282)*100</f>
        <v>0</v>
      </c>
      <c r="BE282" s="28">
        <v>0</v>
      </c>
      <c r="BF282" s="28">
        <f>282</f>
        <v>282</v>
      </c>
      <c r="BH282" s="28">
        <f>F282*AO282</f>
        <v>0</v>
      </c>
      <c r="BI282" s="28">
        <f>F282*AP282</f>
        <v>0</v>
      </c>
      <c r="BJ282" s="28">
        <f>F282*G282</f>
        <v>0</v>
      </c>
      <c r="BK282" s="28"/>
      <c r="BL282" s="28">
        <v>34</v>
      </c>
      <c r="BW282" s="28">
        <v>21</v>
      </c>
    </row>
    <row r="283" spans="1:75" x14ac:dyDescent="0.25">
      <c r="A283" s="31"/>
      <c r="C283" s="32" t="s">
        <v>52</v>
      </c>
      <c r="D283" s="32" t="s">
        <v>565</v>
      </c>
      <c r="F283" s="33">
        <v>0</v>
      </c>
      <c r="K283" s="34"/>
    </row>
    <row r="284" spans="1:75" x14ac:dyDescent="0.25">
      <c r="A284" s="31"/>
      <c r="C284" s="32" t="s">
        <v>566</v>
      </c>
      <c r="D284" s="32" t="s">
        <v>567</v>
      </c>
      <c r="F284" s="33">
        <v>70.247</v>
      </c>
      <c r="K284" s="34"/>
    </row>
    <row r="285" spans="1:75" x14ac:dyDescent="0.25">
      <c r="A285" s="31"/>
      <c r="C285" s="32" t="s">
        <v>568</v>
      </c>
      <c r="D285" s="32" t="s">
        <v>569</v>
      </c>
      <c r="F285" s="33">
        <v>59.7</v>
      </c>
      <c r="K285" s="34"/>
    </row>
    <row r="286" spans="1:75" x14ac:dyDescent="0.25">
      <c r="A286" s="31"/>
      <c r="C286" s="32" t="s">
        <v>570</v>
      </c>
      <c r="D286" s="32" t="s">
        <v>52</v>
      </c>
      <c r="F286" s="33">
        <v>37.5</v>
      </c>
      <c r="K286" s="34"/>
    </row>
    <row r="287" spans="1:75" ht="13.5" customHeight="1" x14ac:dyDescent="0.25">
      <c r="A287" s="2" t="s">
        <v>571</v>
      </c>
      <c r="B287" s="3" t="s">
        <v>572</v>
      </c>
      <c r="C287" s="83" t="s">
        <v>573</v>
      </c>
      <c r="D287" s="80"/>
      <c r="E287" s="3" t="s">
        <v>148</v>
      </c>
      <c r="F287" s="28">
        <v>3.7</v>
      </c>
      <c r="G287" s="28">
        <v>0</v>
      </c>
      <c r="H287" s="28">
        <f>F287*AO287</f>
        <v>0</v>
      </c>
      <c r="I287" s="28">
        <f>F287*AP287</f>
        <v>0</v>
      </c>
      <c r="J287" s="28">
        <f>F287*G287</f>
        <v>0</v>
      </c>
      <c r="K287" s="29" t="s">
        <v>61</v>
      </c>
      <c r="Z287" s="28">
        <f>IF(AQ287="5",BJ287,0)</f>
        <v>0</v>
      </c>
      <c r="AB287" s="28">
        <f>IF(AQ287="1",BH287,0)</f>
        <v>0</v>
      </c>
      <c r="AC287" s="28">
        <f>IF(AQ287="1",BI287,0)</f>
        <v>0</v>
      </c>
      <c r="AD287" s="28">
        <f>IF(AQ287="7",BH287,0)</f>
        <v>0</v>
      </c>
      <c r="AE287" s="28">
        <f>IF(AQ287="7",BI287,0)</f>
        <v>0</v>
      </c>
      <c r="AF287" s="28">
        <f>IF(AQ287="2",BH287,0)</f>
        <v>0</v>
      </c>
      <c r="AG287" s="28">
        <f>IF(AQ287="2",BI287,0)</f>
        <v>0</v>
      </c>
      <c r="AH287" s="28">
        <f>IF(AQ287="0",BJ287,0)</f>
        <v>0</v>
      </c>
      <c r="AI287" s="10" t="s">
        <v>236</v>
      </c>
      <c r="AJ287" s="28">
        <f>IF(AN287=0,J287,0)</f>
        <v>0</v>
      </c>
      <c r="AK287" s="28">
        <f>IF(AN287=12,J287,0)</f>
        <v>0</v>
      </c>
      <c r="AL287" s="28">
        <f>IF(AN287=21,J287,0)</f>
        <v>0</v>
      </c>
      <c r="AN287" s="28">
        <v>21</v>
      </c>
      <c r="AO287" s="28">
        <f>G287*0.736818182</f>
        <v>0</v>
      </c>
      <c r="AP287" s="28">
        <f>G287*(1-0.736818182)</f>
        <v>0</v>
      </c>
      <c r="AQ287" s="30" t="s">
        <v>57</v>
      </c>
      <c r="AV287" s="28">
        <f>AW287+AX287</f>
        <v>0</v>
      </c>
      <c r="AW287" s="28">
        <f>F287*AO287</f>
        <v>0</v>
      </c>
      <c r="AX287" s="28">
        <f>F287*AP287</f>
        <v>0</v>
      </c>
      <c r="AY287" s="30" t="s">
        <v>552</v>
      </c>
      <c r="AZ287" s="30" t="s">
        <v>475</v>
      </c>
      <c r="BA287" s="10" t="s">
        <v>242</v>
      </c>
      <c r="BC287" s="28">
        <f>AW287+AX287</f>
        <v>0</v>
      </c>
      <c r="BD287" s="28">
        <f>G287/(100-BE287)*100</f>
        <v>0</v>
      </c>
      <c r="BE287" s="28">
        <v>0</v>
      </c>
      <c r="BF287" s="28">
        <f>287</f>
        <v>287</v>
      </c>
      <c r="BH287" s="28">
        <f>F287*AO287</f>
        <v>0</v>
      </c>
      <c r="BI287" s="28">
        <f>F287*AP287</f>
        <v>0</v>
      </c>
      <c r="BJ287" s="28">
        <f>F287*G287</f>
        <v>0</v>
      </c>
      <c r="BK287" s="28"/>
      <c r="BL287" s="28">
        <v>34</v>
      </c>
      <c r="BW287" s="28">
        <v>21</v>
      </c>
    </row>
    <row r="288" spans="1:75" x14ac:dyDescent="0.25">
      <c r="A288" s="31"/>
      <c r="C288" s="32" t="s">
        <v>574</v>
      </c>
      <c r="D288" s="32" t="s">
        <v>575</v>
      </c>
      <c r="F288" s="33">
        <v>2.5</v>
      </c>
      <c r="K288" s="34"/>
    </row>
    <row r="289" spans="1:75" x14ac:dyDescent="0.25">
      <c r="A289" s="31"/>
      <c r="C289" s="32" t="s">
        <v>576</v>
      </c>
      <c r="D289" s="32" t="s">
        <v>577</v>
      </c>
      <c r="F289" s="33">
        <v>1.2</v>
      </c>
      <c r="K289" s="34"/>
    </row>
    <row r="290" spans="1:75" ht="13.5" customHeight="1" x14ac:dyDescent="0.25">
      <c r="A290" s="2" t="s">
        <v>578</v>
      </c>
      <c r="B290" s="3" t="s">
        <v>579</v>
      </c>
      <c r="C290" s="83" t="s">
        <v>580</v>
      </c>
      <c r="D290" s="80"/>
      <c r="E290" s="3" t="s">
        <v>78</v>
      </c>
      <c r="F290" s="28">
        <v>54</v>
      </c>
      <c r="G290" s="28">
        <v>0</v>
      </c>
      <c r="H290" s="28">
        <f>F290*AO290</f>
        <v>0</v>
      </c>
      <c r="I290" s="28">
        <f>F290*AP290</f>
        <v>0</v>
      </c>
      <c r="J290" s="28">
        <f>F290*G290</f>
        <v>0</v>
      </c>
      <c r="K290" s="29" t="s">
        <v>61</v>
      </c>
      <c r="Z290" s="28">
        <f>IF(AQ290="5",BJ290,0)</f>
        <v>0</v>
      </c>
      <c r="AB290" s="28">
        <f>IF(AQ290="1",BH290,0)</f>
        <v>0</v>
      </c>
      <c r="AC290" s="28">
        <f>IF(AQ290="1",BI290,0)</f>
        <v>0</v>
      </c>
      <c r="AD290" s="28">
        <f>IF(AQ290="7",BH290,0)</f>
        <v>0</v>
      </c>
      <c r="AE290" s="28">
        <f>IF(AQ290="7",BI290,0)</f>
        <v>0</v>
      </c>
      <c r="AF290" s="28">
        <f>IF(AQ290="2",BH290,0)</f>
        <v>0</v>
      </c>
      <c r="AG290" s="28">
        <f>IF(AQ290="2",BI290,0)</f>
        <v>0</v>
      </c>
      <c r="AH290" s="28">
        <f>IF(AQ290="0",BJ290,0)</f>
        <v>0</v>
      </c>
      <c r="AI290" s="10" t="s">
        <v>236</v>
      </c>
      <c r="AJ290" s="28">
        <f>IF(AN290=0,J290,0)</f>
        <v>0</v>
      </c>
      <c r="AK290" s="28">
        <f>IF(AN290=12,J290,0)</f>
        <v>0</v>
      </c>
      <c r="AL290" s="28">
        <f>IF(AN290=21,J290,0)</f>
        <v>0</v>
      </c>
      <c r="AN290" s="28">
        <v>21</v>
      </c>
      <c r="AO290" s="28">
        <f>G290*0.359644323</f>
        <v>0</v>
      </c>
      <c r="AP290" s="28">
        <f>G290*(1-0.359644323)</f>
        <v>0</v>
      </c>
      <c r="AQ290" s="30" t="s">
        <v>57</v>
      </c>
      <c r="AV290" s="28">
        <f>AW290+AX290</f>
        <v>0</v>
      </c>
      <c r="AW290" s="28">
        <f>F290*AO290</f>
        <v>0</v>
      </c>
      <c r="AX290" s="28">
        <f>F290*AP290</f>
        <v>0</v>
      </c>
      <c r="AY290" s="30" t="s">
        <v>552</v>
      </c>
      <c r="AZ290" s="30" t="s">
        <v>475</v>
      </c>
      <c r="BA290" s="10" t="s">
        <v>242</v>
      </c>
      <c r="BC290" s="28">
        <f>AW290+AX290</f>
        <v>0</v>
      </c>
      <c r="BD290" s="28">
        <f>G290/(100-BE290)*100</f>
        <v>0</v>
      </c>
      <c r="BE290" s="28">
        <v>0</v>
      </c>
      <c r="BF290" s="28">
        <f>290</f>
        <v>290</v>
      </c>
      <c r="BH290" s="28">
        <f>F290*AO290</f>
        <v>0</v>
      </c>
      <c r="BI290" s="28">
        <f>F290*AP290</f>
        <v>0</v>
      </c>
      <c r="BJ290" s="28">
        <f>F290*G290</f>
        <v>0</v>
      </c>
      <c r="BK290" s="28"/>
      <c r="BL290" s="28">
        <v>34</v>
      </c>
      <c r="BW290" s="28">
        <v>21</v>
      </c>
    </row>
    <row r="291" spans="1:75" x14ac:dyDescent="0.25">
      <c r="A291" s="31"/>
      <c r="C291" s="32" t="s">
        <v>393</v>
      </c>
      <c r="D291" s="32" t="s">
        <v>52</v>
      </c>
      <c r="F291" s="33">
        <v>54</v>
      </c>
      <c r="K291" s="34"/>
    </row>
    <row r="292" spans="1:75" x14ac:dyDescent="0.25">
      <c r="A292" s="24" t="s">
        <v>52</v>
      </c>
      <c r="B292" s="25" t="s">
        <v>299</v>
      </c>
      <c r="C292" s="139" t="s">
        <v>581</v>
      </c>
      <c r="D292" s="140"/>
      <c r="E292" s="26" t="s">
        <v>4</v>
      </c>
      <c r="F292" s="26" t="s">
        <v>4</v>
      </c>
      <c r="G292" s="26" t="s">
        <v>4</v>
      </c>
      <c r="H292" s="1">
        <f>SUM(H293:H343)</f>
        <v>0</v>
      </c>
      <c r="I292" s="1">
        <f>SUM(I293:I343)</f>
        <v>0</v>
      </c>
      <c r="J292" s="1">
        <f>SUM(J293:J343)</f>
        <v>0</v>
      </c>
      <c r="K292" s="27" t="s">
        <v>52</v>
      </c>
      <c r="AI292" s="10" t="s">
        <v>236</v>
      </c>
      <c r="AS292" s="1">
        <f>SUM(AJ293:AJ343)</f>
        <v>0</v>
      </c>
      <c r="AT292" s="1">
        <f>SUM(AK293:AK343)</f>
        <v>0</v>
      </c>
      <c r="AU292" s="1">
        <f>SUM(AL293:AL343)</f>
        <v>0</v>
      </c>
    </row>
    <row r="293" spans="1:75" ht="13.5" customHeight="1" x14ac:dyDescent="0.25">
      <c r="A293" s="2" t="s">
        <v>582</v>
      </c>
      <c r="B293" s="3" t="s">
        <v>583</v>
      </c>
      <c r="C293" s="83" t="s">
        <v>584</v>
      </c>
      <c r="D293" s="80"/>
      <c r="E293" s="3" t="s">
        <v>60</v>
      </c>
      <c r="F293" s="28">
        <v>3.7787000000000002</v>
      </c>
      <c r="G293" s="28">
        <v>0</v>
      </c>
      <c r="H293" s="28">
        <f>F293*AO293</f>
        <v>0</v>
      </c>
      <c r="I293" s="28">
        <f>F293*AP293</f>
        <v>0</v>
      </c>
      <c r="J293" s="28">
        <f>F293*G293</f>
        <v>0</v>
      </c>
      <c r="K293" s="29" t="s">
        <v>61</v>
      </c>
      <c r="Z293" s="28">
        <f>IF(AQ293="5",BJ293,0)</f>
        <v>0</v>
      </c>
      <c r="AB293" s="28">
        <f>IF(AQ293="1",BH293,0)</f>
        <v>0</v>
      </c>
      <c r="AC293" s="28">
        <f>IF(AQ293="1",BI293,0)</f>
        <v>0</v>
      </c>
      <c r="AD293" s="28">
        <f>IF(AQ293="7",BH293,0)</f>
        <v>0</v>
      </c>
      <c r="AE293" s="28">
        <f>IF(AQ293="7",BI293,0)</f>
        <v>0</v>
      </c>
      <c r="AF293" s="28">
        <f>IF(AQ293="2",BH293,0)</f>
        <v>0</v>
      </c>
      <c r="AG293" s="28">
        <f>IF(AQ293="2",BI293,0)</f>
        <v>0</v>
      </c>
      <c r="AH293" s="28">
        <f>IF(AQ293="0",BJ293,0)</f>
        <v>0</v>
      </c>
      <c r="AI293" s="10" t="s">
        <v>236</v>
      </c>
      <c r="AJ293" s="28">
        <f>IF(AN293=0,J293,0)</f>
        <v>0</v>
      </c>
      <c r="AK293" s="28">
        <f>IF(AN293=12,J293,0)</f>
        <v>0</v>
      </c>
      <c r="AL293" s="28">
        <f>IF(AN293=21,J293,0)</f>
        <v>0</v>
      </c>
      <c r="AN293" s="28">
        <v>21</v>
      </c>
      <c r="AO293" s="28">
        <f>G293*0.85766423</f>
        <v>0</v>
      </c>
      <c r="AP293" s="28">
        <f>G293*(1-0.85766423)</f>
        <v>0</v>
      </c>
      <c r="AQ293" s="30" t="s">
        <v>57</v>
      </c>
      <c r="AV293" s="28">
        <f>AW293+AX293</f>
        <v>0</v>
      </c>
      <c r="AW293" s="28">
        <f>F293*AO293</f>
        <v>0</v>
      </c>
      <c r="AX293" s="28">
        <f>F293*AP293</f>
        <v>0</v>
      </c>
      <c r="AY293" s="30" t="s">
        <v>585</v>
      </c>
      <c r="AZ293" s="30" t="s">
        <v>586</v>
      </c>
      <c r="BA293" s="10" t="s">
        <v>242</v>
      </c>
      <c r="BC293" s="28">
        <f>AW293+AX293</f>
        <v>0</v>
      </c>
      <c r="BD293" s="28">
        <f>G293/(100-BE293)*100</f>
        <v>0</v>
      </c>
      <c r="BE293" s="28">
        <v>0</v>
      </c>
      <c r="BF293" s="28">
        <f>293</f>
        <v>293</v>
      </c>
      <c r="BH293" s="28">
        <f>F293*AO293</f>
        <v>0</v>
      </c>
      <c r="BI293" s="28">
        <f>F293*AP293</f>
        <v>0</v>
      </c>
      <c r="BJ293" s="28">
        <f>F293*G293</f>
        <v>0</v>
      </c>
      <c r="BK293" s="28"/>
      <c r="BL293" s="28">
        <v>41</v>
      </c>
      <c r="BW293" s="28">
        <v>21</v>
      </c>
    </row>
    <row r="294" spans="1:75" x14ac:dyDescent="0.25">
      <c r="A294" s="31"/>
      <c r="C294" s="32" t="s">
        <v>52</v>
      </c>
      <c r="D294" s="32" t="s">
        <v>565</v>
      </c>
      <c r="F294" s="33">
        <v>0</v>
      </c>
      <c r="K294" s="34"/>
    </row>
    <row r="295" spans="1:75" x14ac:dyDescent="0.25">
      <c r="A295" s="31"/>
      <c r="C295" s="32" t="s">
        <v>587</v>
      </c>
      <c r="D295" s="32" t="s">
        <v>588</v>
      </c>
      <c r="F295" s="33">
        <v>0.995</v>
      </c>
      <c r="K295" s="34"/>
    </row>
    <row r="296" spans="1:75" x14ac:dyDescent="0.25">
      <c r="A296" s="31"/>
      <c r="C296" s="32" t="s">
        <v>587</v>
      </c>
      <c r="D296" s="32" t="s">
        <v>589</v>
      </c>
      <c r="F296" s="33">
        <v>0.995</v>
      </c>
      <c r="K296" s="34"/>
    </row>
    <row r="297" spans="1:75" x14ac:dyDescent="0.25">
      <c r="A297" s="31"/>
      <c r="C297" s="32" t="s">
        <v>590</v>
      </c>
      <c r="D297" s="32" t="s">
        <v>591</v>
      </c>
      <c r="F297" s="33">
        <v>0.63</v>
      </c>
      <c r="K297" s="34"/>
    </row>
    <row r="298" spans="1:75" x14ac:dyDescent="0.25">
      <c r="A298" s="31"/>
      <c r="C298" s="32" t="s">
        <v>592</v>
      </c>
      <c r="D298" s="32" t="s">
        <v>593</v>
      </c>
      <c r="F298" s="33">
        <v>0.91125</v>
      </c>
      <c r="K298" s="34"/>
    </row>
    <row r="299" spans="1:75" x14ac:dyDescent="0.25">
      <c r="A299" s="31"/>
      <c r="C299" s="32" t="s">
        <v>594</v>
      </c>
      <c r="D299" s="32" t="s">
        <v>595</v>
      </c>
      <c r="F299" s="33">
        <v>0.17745</v>
      </c>
      <c r="K299" s="34"/>
    </row>
    <row r="300" spans="1:75" x14ac:dyDescent="0.25">
      <c r="A300" s="31"/>
      <c r="C300" s="32" t="s">
        <v>596</v>
      </c>
      <c r="D300" s="32" t="s">
        <v>597</v>
      </c>
      <c r="F300" s="33">
        <v>0.04</v>
      </c>
      <c r="K300" s="34"/>
    </row>
    <row r="301" spans="1:75" x14ac:dyDescent="0.25">
      <c r="A301" s="31"/>
      <c r="C301" s="32" t="s">
        <v>598</v>
      </c>
      <c r="D301" s="32" t="s">
        <v>52</v>
      </c>
      <c r="F301" s="33">
        <v>0.03</v>
      </c>
      <c r="K301" s="34"/>
    </row>
    <row r="302" spans="1:75" ht="13.5" customHeight="1" x14ac:dyDescent="0.25">
      <c r="A302" s="2" t="s">
        <v>599</v>
      </c>
      <c r="B302" s="3" t="s">
        <v>600</v>
      </c>
      <c r="C302" s="83" t="s">
        <v>601</v>
      </c>
      <c r="D302" s="80"/>
      <c r="E302" s="3" t="s">
        <v>148</v>
      </c>
      <c r="F302" s="28">
        <v>77.900000000000006</v>
      </c>
      <c r="G302" s="28">
        <v>0</v>
      </c>
      <c r="H302" s="28">
        <f>F302*AO302</f>
        <v>0</v>
      </c>
      <c r="I302" s="28">
        <f>F302*AP302</f>
        <v>0</v>
      </c>
      <c r="J302" s="28">
        <f>F302*G302</f>
        <v>0</v>
      </c>
      <c r="K302" s="29" t="s">
        <v>61</v>
      </c>
      <c r="Z302" s="28">
        <f>IF(AQ302="5",BJ302,0)</f>
        <v>0</v>
      </c>
      <c r="AB302" s="28">
        <f>IF(AQ302="1",BH302,0)</f>
        <v>0</v>
      </c>
      <c r="AC302" s="28">
        <f>IF(AQ302="1",BI302,0)</f>
        <v>0</v>
      </c>
      <c r="AD302" s="28">
        <f>IF(AQ302="7",BH302,0)</f>
        <v>0</v>
      </c>
      <c r="AE302" s="28">
        <f>IF(AQ302="7",BI302,0)</f>
        <v>0</v>
      </c>
      <c r="AF302" s="28">
        <f>IF(AQ302="2",BH302,0)</f>
        <v>0</v>
      </c>
      <c r="AG302" s="28">
        <f>IF(AQ302="2",BI302,0)</f>
        <v>0</v>
      </c>
      <c r="AH302" s="28">
        <f>IF(AQ302="0",BJ302,0)</f>
        <v>0</v>
      </c>
      <c r="AI302" s="10" t="s">
        <v>236</v>
      </c>
      <c r="AJ302" s="28">
        <f>IF(AN302=0,J302,0)</f>
        <v>0</v>
      </c>
      <c r="AK302" s="28">
        <f>IF(AN302=12,J302,0)</f>
        <v>0</v>
      </c>
      <c r="AL302" s="28">
        <f>IF(AN302=21,J302,0)</f>
        <v>0</v>
      </c>
      <c r="AN302" s="28">
        <v>21</v>
      </c>
      <c r="AO302" s="28">
        <f>G302*0.206732484</f>
        <v>0</v>
      </c>
      <c r="AP302" s="28">
        <f>G302*(1-0.206732484)</f>
        <v>0</v>
      </c>
      <c r="AQ302" s="30" t="s">
        <v>57</v>
      </c>
      <c r="AV302" s="28">
        <f>AW302+AX302</f>
        <v>0</v>
      </c>
      <c r="AW302" s="28">
        <f>F302*AO302</f>
        <v>0</v>
      </c>
      <c r="AX302" s="28">
        <f>F302*AP302</f>
        <v>0</v>
      </c>
      <c r="AY302" s="30" t="s">
        <v>585</v>
      </c>
      <c r="AZ302" s="30" t="s">
        <v>586</v>
      </c>
      <c r="BA302" s="10" t="s">
        <v>242</v>
      </c>
      <c r="BC302" s="28">
        <f>AW302+AX302</f>
        <v>0</v>
      </c>
      <c r="BD302" s="28">
        <f>G302/(100-BE302)*100</f>
        <v>0</v>
      </c>
      <c r="BE302" s="28">
        <v>0</v>
      </c>
      <c r="BF302" s="28">
        <f>302</f>
        <v>302</v>
      </c>
      <c r="BH302" s="28">
        <f>F302*AO302</f>
        <v>0</v>
      </c>
      <c r="BI302" s="28">
        <f>F302*AP302</f>
        <v>0</v>
      </c>
      <c r="BJ302" s="28">
        <f>F302*G302</f>
        <v>0</v>
      </c>
      <c r="BK302" s="28"/>
      <c r="BL302" s="28">
        <v>41</v>
      </c>
      <c r="BW302" s="28">
        <v>21</v>
      </c>
    </row>
    <row r="303" spans="1:75" x14ac:dyDescent="0.25">
      <c r="A303" s="31"/>
      <c r="C303" s="32" t="s">
        <v>52</v>
      </c>
      <c r="D303" s="32" t="s">
        <v>565</v>
      </c>
      <c r="F303" s="33">
        <v>0</v>
      </c>
      <c r="K303" s="34"/>
    </row>
    <row r="304" spans="1:75" x14ac:dyDescent="0.25">
      <c r="A304" s="31"/>
      <c r="C304" s="32" t="s">
        <v>602</v>
      </c>
      <c r="D304" s="32" t="s">
        <v>588</v>
      </c>
      <c r="F304" s="33">
        <v>19.899999999999999</v>
      </c>
      <c r="K304" s="34"/>
    </row>
    <row r="305" spans="1:75" x14ac:dyDescent="0.25">
      <c r="A305" s="31"/>
      <c r="C305" s="32" t="s">
        <v>602</v>
      </c>
      <c r="D305" s="32" t="s">
        <v>589</v>
      </c>
      <c r="F305" s="33">
        <v>19.899999999999999</v>
      </c>
      <c r="K305" s="34"/>
    </row>
    <row r="306" spans="1:75" x14ac:dyDescent="0.25">
      <c r="A306" s="31"/>
      <c r="C306" s="32" t="s">
        <v>603</v>
      </c>
      <c r="D306" s="32" t="s">
        <v>591</v>
      </c>
      <c r="F306" s="33">
        <v>8.4</v>
      </c>
      <c r="K306" s="34"/>
    </row>
    <row r="307" spans="1:75" x14ac:dyDescent="0.25">
      <c r="A307" s="31"/>
      <c r="C307" s="32" t="s">
        <v>604</v>
      </c>
      <c r="D307" s="32" t="s">
        <v>593</v>
      </c>
      <c r="F307" s="33">
        <v>20.25</v>
      </c>
      <c r="K307" s="34"/>
    </row>
    <row r="308" spans="1:75" x14ac:dyDescent="0.25">
      <c r="A308" s="31"/>
      <c r="C308" s="32" t="s">
        <v>605</v>
      </c>
      <c r="D308" s="32" t="s">
        <v>595</v>
      </c>
      <c r="F308" s="33">
        <v>8.4499999999999993</v>
      </c>
      <c r="K308" s="34"/>
    </row>
    <row r="309" spans="1:75" x14ac:dyDescent="0.25">
      <c r="A309" s="31"/>
      <c r="C309" s="32" t="s">
        <v>606</v>
      </c>
      <c r="D309" s="32" t="s">
        <v>597</v>
      </c>
      <c r="F309" s="33">
        <v>0.5</v>
      </c>
      <c r="K309" s="34"/>
    </row>
    <row r="310" spans="1:75" x14ac:dyDescent="0.25">
      <c r="A310" s="31"/>
      <c r="C310" s="32" t="s">
        <v>606</v>
      </c>
      <c r="D310" s="32" t="s">
        <v>52</v>
      </c>
      <c r="F310" s="33">
        <v>0.5</v>
      </c>
      <c r="K310" s="34"/>
    </row>
    <row r="311" spans="1:75" ht="13.5" customHeight="1" x14ac:dyDescent="0.25">
      <c r="A311" s="2" t="s">
        <v>607</v>
      </c>
      <c r="B311" s="3" t="s">
        <v>608</v>
      </c>
      <c r="C311" s="83" t="s">
        <v>609</v>
      </c>
      <c r="D311" s="80"/>
      <c r="E311" s="3" t="s">
        <v>148</v>
      </c>
      <c r="F311" s="28">
        <v>77.900000000000006</v>
      </c>
      <c r="G311" s="28">
        <v>0</v>
      </c>
      <c r="H311" s="28">
        <f>F311*AO311</f>
        <v>0</v>
      </c>
      <c r="I311" s="28">
        <f>F311*AP311</f>
        <v>0</v>
      </c>
      <c r="J311" s="28">
        <f>F311*G311</f>
        <v>0</v>
      </c>
      <c r="K311" s="29" t="s">
        <v>61</v>
      </c>
      <c r="Z311" s="28">
        <f>IF(AQ311="5",BJ311,0)</f>
        <v>0</v>
      </c>
      <c r="AB311" s="28">
        <f>IF(AQ311="1",BH311,0)</f>
        <v>0</v>
      </c>
      <c r="AC311" s="28">
        <f>IF(AQ311="1",BI311,0)</f>
        <v>0</v>
      </c>
      <c r="AD311" s="28">
        <f>IF(AQ311="7",BH311,0)</f>
        <v>0</v>
      </c>
      <c r="AE311" s="28">
        <f>IF(AQ311="7",BI311,0)</f>
        <v>0</v>
      </c>
      <c r="AF311" s="28">
        <f>IF(AQ311="2",BH311,0)</f>
        <v>0</v>
      </c>
      <c r="AG311" s="28">
        <f>IF(AQ311="2",BI311,0)</f>
        <v>0</v>
      </c>
      <c r="AH311" s="28">
        <f>IF(AQ311="0",BJ311,0)</f>
        <v>0</v>
      </c>
      <c r="AI311" s="10" t="s">
        <v>236</v>
      </c>
      <c r="AJ311" s="28">
        <f>IF(AN311=0,J311,0)</f>
        <v>0</v>
      </c>
      <c r="AK311" s="28">
        <f>IF(AN311=12,J311,0)</f>
        <v>0</v>
      </c>
      <c r="AL311" s="28">
        <f>IF(AN311=21,J311,0)</f>
        <v>0</v>
      </c>
      <c r="AN311" s="28">
        <v>21</v>
      </c>
      <c r="AO311" s="28">
        <f>G311*0</f>
        <v>0</v>
      </c>
      <c r="AP311" s="28">
        <f>G311*(1-0)</f>
        <v>0</v>
      </c>
      <c r="AQ311" s="30" t="s">
        <v>57</v>
      </c>
      <c r="AV311" s="28">
        <f>AW311+AX311</f>
        <v>0</v>
      </c>
      <c r="AW311" s="28">
        <f>F311*AO311</f>
        <v>0</v>
      </c>
      <c r="AX311" s="28">
        <f>F311*AP311</f>
        <v>0</v>
      </c>
      <c r="AY311" s="30" t="s">
        <v>585</v>
      </c>
      <c r="AZ311" s="30" t="s">
        <v>586</v>
      </c>
      <c r="BA311" s="10" t="s">
        <v>242</v>
      </c>
      <c r="BC311" s="28">
        <f>AW311+AX311</f>
        <v>0</v>
      </c>
      <c r="BD311" s="28">
        <f>G311/(100-BE311)*100</f>
        <v>0</v>
      </c>
      <c r="BE311" s="28">
        <v>0</v>
      </c>
      <c r="BF311" s="28">
        <f>311</f>
        <v>311</v>
      </c>
      <c r="BH311" s="28">
        <f>F311*AO311</f>
        <v>0</v>
      </c>
      <c r="BI311" s="28">
        <f>F311*AP311</f>
        <v>0</v>
      </c>
      <c r="BJ311" s="28">
        <f>F311*G311</f>
        <v>0</v>
      </c>
      <c r="BK311" s="28"/>
      <c r="BL311" s="28">
        <v>41</v>
      </c>
      <c r="BW311" s="28">
        <v>21</v>
      </c>
    </row>
    <row r="312" spans="1:75" ht="13.5" customHeight="1" x14ac:dyDescent="0.25">
      <c r="A312" s="2" t="s">
        <v>610</v>
      </c>
      <c r="B312" s="3" t="s">
        <v>611</v>
      </c>
      <c r="C312" s="83" t="s">
        <v>612</v>
      </c>
      <c r="D312" s="80"/>
      <c r="E312" s="3" t="s">
        <v>71</v>
      </c>
      <c r="F312" s="28">
        <v>0.25540000000000002</v>
      </c>
      <c r="G312" s="28">
        <v>0</v>
      </c>
      <c r="H312" s="28">
        <f>F312*AO312</f>
        <v>0</v>
      </c>
      <c r="I312" s="28">
        <f>F312*AP312</f>
        <v>0</v>
      </c>
      <c r="J312" s="28">
        <f>F312*G312</f>
        <v>0</v>
      </c>
      <c r="K312" s="29" t="s">
        <v>61</v>
      </c>
      <c r="Z312" s="28">
        <f>IF(AQ312="5",BJ312,0)</f>
        <v>0</v>
      </c>
      <c r="AB312" s="28">
        <f>IF(AQ312="1",BH312,0)</f>
        <v>0</v>
      </c>
      <c r="AC312" s="28">
        <f>IF(AQ312="1",BI312,0)</f>
        <v>0</v>
      </c>
      <c r="AD312" s="28">
        <f>IF(AQ312="7",BH312,0)</f>
        <v>0</v>
      </c>
      <c r="AE312" s="28">
        <f>IF(AQ312="7",BI312,0)</f>
        <v>0</v>
      </c>
      <c r="AF312" s="28">
        <f>IF(AQ312="2",BH312,0)</f>
        <v>0</v>
      </c>
      <c r="AG312" s="28">
        <f>IF(AQ312="2",BI312,0)</f>
        <v>0</v>
      </c>
      <c r="AH312" s="28">
        <f>IF(AQ312="0",BJ312,0)</f>
        <v>0</v>
      </c>
      <c r="AI312" s="10" t="s">
        <v>236</v>
      </c>
      <c r="AJ312" s="28">
        <f>IF(AN312=0,J312,0)</f>
        <v>0</v>
      </c>
      <c r="AK312" s="28">
        <f>IF(AN312=12,J312,0)</f>
        <v>0</v>
      </c>
      <c r="AL312" s="28">
        <f>IF(AN312=21,J312,0)</f>
        <v>0</v>
      </c>
      <c r="AN312" s="28">
        <v>21</v>
      </c>
      <c r="AO312" s="28">
        <f>G312*0.721520308</f>
        <v>0</v>
      </c>
      <c r="AP312" s="28">
        <f>G312*(1-0.721520308)</f>
        <v>0</v>
      </c>
      <c r="AQ312" s="30" t="s">
        <v>57</v>
      </c>
      <c r="AV312" s="28">
        <f>AW312+AX312</f>
        <v>0</v>
      </c>
      <c r="AW312" s="28">
        <f>F312*AO312</f>
        <v>0</v>
      </c>
      <c r="AX312" s="28">
        <f>F312*AP312</f>
        <v>0</v>
      </c>
      <c r="AY312" s="30" t="s">
        <v>585</v>
      </c>
      <c r="AZ312" s="30" t="s">
        <v>586</v>
      </c>
      <c r="BA312" s="10" t="s">
        <v>242</v>
      </c>
      <c r="BC312" s="28">
        <f>AW312+AX312</f>
        <v>0</v>
      </c>
      <c r="BD312" s="28">
        <f>G312/(100-BE312)*100</f>
        <v>0</v>
      </c>
      <c r="BE312" s="28">
        <v>0</v>
      </c>
      <c r="BF312" s="28">
        <f>312</f>
        <v>312</v>
      </c>
      <c r="BH312" s="28">
        <f>F312*AO312</f>
        <v>0</v>
      </c>
      <c r="BI312" s="28">
        <f>F312*AP312</f>
        <v>0</v>
      </c>
      <c r="BJ312" s="28">
        <f>F312*G312</f>
        <v>0</v>
      </c>
      <c r="BK312" s="28"/>
      <c r="BL312" s="28">
        <v>41</v>
      </c>
      <c r="BW312" s="28">
        <v>21</v>
      </c>
    </row>
    <row r="313" spans="1:75" x14ac:dyDescent="0.25">
      <c r="A313" s="31"/>
      <c r="C313" s="32" t="s">
        <v>613</v>
      </c>
      <c r="D313" s="32" t="s">
        <v>614</v>
      </c>
      <c r="F313" s="33">
        <v>0.21360000000000001</v>
      </c>
      <c r="K313" s="34"/>
    </row>
    <row r="314" spans="1:75" x14ac:dyDescent="0.25">
      <c r="A314" s="31"/>
      <c r="C314" s="32" t="s">
        <v>615</v>
      </c>
      <c r="D314" s="32" t="s">
        <v>616</v>
      </c>
      <c r="F314" s="33">
        <v>4.1799999999999997E-2</v>
      </c>
      <c r="K314" s="34"/>
    </row>
    <row r="315" spans="1:75" ht="13.5" customHeight="1" x14ac:dyDescent="0.25">
      <c r="A315" s="2" t="s">
        <v>617</v>
      </c>
      <c r="B315" s="3" t="s">
        <v>618</v>
      </c>
      <c r="C315" s="83" t="s">
        <v>619</v>
      </c>
      <c r="D315" s="80"/>
      <c r="E315" s="3" t="s">
        <v>148</v>
      </c>
      <c r="F315" s="28">
        <v>4.3</v>
      </c>
      <c r="G315" s="28">
        <v>0</v>
      </c>
      <c r="H315" s="28">
        <f>F315*AO315</f>
        <v>0</v>
      </c>
      <c r="I315" s="28">
        <f>F315*AP315</f>
        <v>0</v>
      </c>
      <c r="J315" s="28">
        <f>F315*G315</f>
        <v>0</v>
      </c>
      <c r="K315" s="29" t="s">
        <v>61</v>
      </c>
      <c r="Z315" s="28">
        <f>IF(AQ315="5",BJ315,0)</f>
        <v>0</v>
      </c>
      <c r="AB315" s="28">
        <f>IF(AQ315="1",BH315,0)</f>
        <v>0</v>
      </c>
      <c r="AC315" s="28">
        <f>IF(AQ315="1",BI315,0)</f>
        <v>0</v>
      </c>
      <c r="AD315" s="28">
        <f>IF(AQ315="7",BH315,0)</f>
        <v>0</v>
      </c>
      <c r="AE315" s="28">
        <f>IF(AQ315="7",BI315,0)</f>
        <v>0</v>
      </c>
      <c r="AF315" s="28">
        <f>IF(AQ315="2",BH315,0)</f>
        <v>0</v>
      </c>
      <c r="AG315" s="28">
        <f>IF(AQ315="2",BI315,0)</f>
        <v>0</v>
      </c>
      <c r="AH315" s="28">
        <f>IF(AQ315="0",BJ315,0)</f>
        <v>0</v>
      </c>
      <c r="AI315" s="10" t="s">
        <v>236</v>
      </c>
      <c r="AJ315" s="28">
        <f>IF(AN315=0,J315,0)</f>
        <v>0</v>
      </c>
      <c r="AK315" s="28">
        <f>IF(AN315=12,J315,0)</f>
        <v>0</v>
      </c>
      <c r="AL315" s="28">
        <f>IF(AN315=21,J315,0)</f>
        <v>0</v>
      </c>
      <c r="AN315" s="28">
        <v>21</v>
      </c>
      <c r="AO315" s="28">
        <f>G315*0.404419322</f>
        <v>0</v>
      </c>
      <c r="AP315" s="28">
        <f>G315*(1-0.404419322)</f>
        <v>0</v>
      </c>
      <c r="AQ315" s="30" t="s">
        <v>57</v>
      </c>
      <c r="AV315" s="28">
        <f>AW315+AX315</f>
        <v>0</v>
      </c>
      <c r="AW315" s="28">
        <f>F315*AO315</f>
        <v>0</v>
      </c>
      <c r="AX315" s="28">
        <f>F315*AP315</f>
        <v>0</v>
      </c>
      <c r="AY315" s="30" t="s">
        <v>585</v>
      </c>
      <c r="AZ315" s="30" t="s">
        <v>586</v>
      </c>
      <c r="BA315" s="10" t="s">
        <v>242</v>
      </c>
      <c r="BC315" s="28">
        <f>AW315+AX315</f>
        <v>0</v>
      </c>
      <c r="BD315" s="28">
        <f>G315/(100-BE315)*100</f>
        <v>0</v>
      </c>
      <c r="BE315" s="28">
        <v>0</v>
      </c>
      <c r="BF315" s="28">
        <f>315</f>
        <v>315</v>
      </c>
      <c r="BH315" s="28">
        <f>F315*AO315</f>
        <v>0</v>
      </c>
      <c r="BI315" s="28">
        <f>F315*AP315</f>
        <v>0</v>
      </c>
      <c r="BJ315" s="28">
        <f>F315*G315</f>
        <v>0</v>
      </c>
      <c r="BK315" s="28"/>
      <c r="BL315" s="28">
        <v>41</v>
      </c>
      <c r="BW315" s="28">
        <v>21</v>
      </c>
    </row>
    <row r="316" spans="1:75" x14ac:dyDescent="0.25">
      <c r="A316" s="31"/>
      <c r="C316" s="32" t="s">
        <v>620</v>
      </c>
      <c r="D316" s="32" t="s">
        <v>52</v>
      </c>
      <c r="F316" s="33">
        <v>4.3</v>
      </c>
      <c r="K316" s="34"/>
    </row>
    <row r="317" spans="1:75" ht="13.5" customHeight="1" x14ac:dyDescent="0.25">
      <c r="A317" s="2" t="s">
        <v>621</v>
      </c>
      <c r="B317" s="3" t="s">
        <v>622</v>
      </c>
      <c r="C317" s="83" t="s">
        <v>623</v>
      </c>
      <c r="D317" s="80"/>
      <c r="E317" s="3" t="s">
        <v>148</v>
      </c>
      <c r="F317" s="28">
        <v>4.3</v>
      </c>
      <c r="G317" s="28">
        <v>0</v>
      </c>
      <c r="H317" s="28">
        <f>F317*AO317</f>
        <v>0</v>
      </c>
      <c r="I317" s="28">
        <f>F317*AP317</f>
        <v>0</v>
      </c>
      <c r="J317" s="28">
        <f>F317*G317</f>
        <v>0</v>
      </c>
      <c r="K317" s="29" t="s">
        <v>61</v>
      </c>
      <c r="Z317" s="28">
        <f>IF(AQ317="5",BJ317,0)</f>
        <v>0</v>
      </c>
      <c r="AB317" s="28">
        <f>IF(AQ317="1",BH317,0)</f>
        <v>0</v>
      </c>
      <c r="AC317" s="28">
        <f>IF(AQ317="1",BI317,0)</f>
        <v>0</v>
      </c>
      <c r="AD317" s="28">
        <f>IF(AQ317="7",BH317,0)</f>
        <v>0</v>
      </c>
      <c r="AE317" s="28">
        <f>IF(AQ317="7",BI317,0)</f>
        <v>0</v>
      </c>
      <c r="AF317" s="28">
        <f>IF(AQ317="2",BH317,0)</f>
        <v>0</v>
      </c>
      <c r="AG317" s="28">
        <f>IF(AQ317="2",BI317,0)</f>
        <v>0</v>
      </c>
      <c r="AH317" s="28">
        <f>IF(AQ317="0",BJ317,0)</f>
        <v>0</v>
      </c>
      <c r="AI317" s="10" t="s">
        <v>236</v>
      </c>
      <c r="AJ317" s="28">
        <f>IF(AN317=0,J317,0)</f>
        <v>0</v>
      </c>
      <c r="AK317" s="28">
        <f>IF(AN317=12,J317,0)</f>
        <v>0</v>
      </c>
      <c r="AL317" s="28">
        <f>IF(AN317=21,J317,0)</f>
        <v>0</v>
      </c>
      <c r="AN317" s="28">
        <v>21</v>
      </c>
      <c r="AO317" s="28">
        <f>G317*0</f>
        <v>0</v>
      </c>
      <c r="AP317" s="28">
        <f>G317*(1-0)</f>
        <v>0</v>
      </c>
      <c r="AQ317" s="30" t="s">
        <v>57</v>
      </c>
      <c r="AV317" s="28">
        <f>AW317+AX317</f>
        <v>0</v>
      </c>
      <c r="AW317" s="28">
        <f>F317*AO317</f>
        <v>0</v>
      </c>
      <c r="AX317" s="28">
        <f>F317*AP317</f>
        <v>0</v>
      </c>
      <c r="AY317" s="30" t="s">
        <v>585</v>
      </c>
      <c r="AZ317" s="30" t="s">
        <v>586</v>
      </c>
      <c r="BA317" s="10" t="s">
        <v>242</v>
      </c>
      <c r="BC317" s="28">
        <f>AW317+AX317</f>
        <v>0</v>
      </c>
      <c r="BD317" s="28">
        <f>G317/(100-BE317)*100</f>
        <v>0</v>
      </c>
      <c r="BE317" s="28">
        <v>0</v>
      </c>
      <c r="BF317" s="28">
        <f>317</f>
        <v>317</v>
      </c>
      <c r="BH317" s="28">
        <f>F317*AO317</f>
        <v>0</v>
      </c>
      <c r="BI317" s="28">
        <f>F317*AP317</f>
        <v>0</v>
      </c>
      <c r="BJ317" s="28">
        <f>F317*G317</f>
        <v>0</v>
      </c>
      <c r="BK317" s="28"/>
      <c r="BL317" s="28">
        <v>41</v>
      </c>
      <c r="BW317" s="28">
        <v>21</v>
      </c>
    </row>
    <row r="318" spans="1:75" x14ac:dyDescent="0.25">
      <c r="A318" s="31"/>
      <c r="C318" s="32" t="s">
        <v>620</v>
      </c>
      <c r="D318" s="32" t="s">
        <v>52</v>
      </c>
      <c r="F318" s="33">
        <v>4.3</v>
      </c>
      <c r="K318" s="34"/>
    </row>
    <row r="319" spans="1:75" ht="13.5" customHeight="1" x14ac:dyDescent="0.25">
      <c r="A319" s="2" t="s">
        <v>624</v>
      </c>
      <c r="B319" s="3" t="s">
        <v>625</v>
      </c>
      <c r="C319" s="83" t="s">
        <v>626</v>
      </c>
      <c r="D319" s="80"/>
      <c r="E319" s="3" t="s">
        <v>60</v>
      </c>
      <c r="F319" s="28">
        <v>1.512</v>
      </c>
      <c r="G319" s="28">
        <v>0</v>
      </c>
      <c r="H319" s="28">
        <f>F319*AO319</f>
        <v>0</v>
      </c>
      <c r="I319" s="28">
        <f>F319*AP319</f>
        <v>0</v>
      </c>
      <c r="J319" s="28">
        <f>F319*G319</f>
        <v>0</v>
      </c>
      <c r="K319" s="29" t="s">
        <v>61</v>
      </c>
      <c r="Z319" s="28">
        <f>IF(AQ319="5",BJ319,0)</f>
        <v>0</v>
      </c>
      <c r="AB319" s="28">
        <f>IF(AQ319="1",BH319,0)</f>
        <v>0</v>
      </c>
      <c r="AC319" s="28">
        <f>IF(AQ319="1",BI319,0)</f>
        <v>0</v>
      </c>
      <c r="AD319" s="28">
        <f>IF(AQ319="7",BH319,0)</f>
        <v>0</v>
      </c>
      <c r="AE319" s="28">
        <f>IF(AQ319="7",BI319,0)</f>
        <v>0</v>
      </c>
      <c r="AF319" s="28">
        <f>IF(AQ319="2",BH319,0)</f>
        <v>0</v>
      </c>
      <c r="AG319" s="28">
        <f>IF(AQ319="2",BI319,0)</f>
        <v>0</v>
      </c>
      <c r="AH319" s="28">
        <f>IF(AQ319="0",BJ319,0)</f>
        <v>0</v>
      </c>
      <c r="AI319" s="10" t="s">
        <v>236</v>
      </c>
      <c r="AJ319" s="28">
        <f>IF(AN319=0,J319,0)</f>
        <v>0</v>
      </c>
      <c r="AK319" s="28">
        <f>IF(AN319=12,J319,0)</f>
        <v>0</v>
      </c>
      <c r="AL319" s="28">
        <f>IF(AN319=21,J319,0)</f>
        <v>0</v>
      </c>
      <c r="AN319" s="28">
        <v>21</v>
      </c>
      <c r="AO319" s="28">
        <f>G319*0.868672769</f>
        <v>0</v>
      </c>
      <c r="AP319" s="28">
        <f>G319*(1-0.868672769)</f>
        <v>0</v>
      </c>
      <c r="AQ319" s="30" t="s">
        <v>57</v>
      </c>
      <c r="AV319" s="28">
        <f>AW319+AX319</f>
        <v>0</v>
      </c>
      <c r="AW319" s="28">
        <f>F319*AO319</f>
        <v>0</v>
      </c>
      <c r="AX319" s="28">
        <f>F319*AP319</f>
        <v>0</v>
      </c>
      <c r="AY319" s="30" t="s">
        <v>585</v>
      </c>
      <c r="AZ319" s="30" t="s">
        <v>586</v>
      </c>
      <c r="BA319" s="10" t="s">
        <v>242</v>
      </c>
      <c r="BC319" s="28">
        <f>AW319+AX319</f>
        <v>0</v>
      </c>
      <c r="BD319" s="28">
        <f>G319/(100-BE319)*100</f>
        <v>0</v>
      </c>
      <c r="BE319" s="28">
        <v>0</v>
      </c>
      <c r="BF319" s="28">
        <f>319</f>
        <v>319</v>
      </c>
      <c r="BH319" s="28">
        <f>F319*AO319</f>
        <v>0</v>
      </c>
      <c r="BI319" s="28">
        <f>F319*AP319</f>
        <v>0</v>
      </c>
      <c r="BJ319" s="28">
        <f>F319*G319</f>
        <v>0</v>
      </c>
      <c r="BK319" s="28"/>
      <c r="BL319" s="28">
        <v>41</v>
      </c>
      <c r="BW319" s="28">
        <v>21</v>
      </c>
    </row>
    <row r="320" spans="1:75" x14ac:dyDescent="0.25">
      <c r="A320" s="31"/>
      <c r="C320" s="32" t="s">
        <v>627</v>
      </c>
      <c r="D320" s="32" t="s">
        <v>628</v>
      </c>
      <c r="F320" s="33">
        <v>1.1519999999999999</v>
      </c>
      <c r="K320" s="34"/>
    </row>
    <row r="321" spans="1:75" x14ac:dyDescent="0.25">
      <c r="A321" s="31"/>
      <c r="C321" s="32" t="s">
        <v>629</v>
      </c>
      <c r="D321" s="32" t="s">
        <v>630</v>
      </c>
      <c r="F321" s="33">
        <v>0</v>
      </c>
      <c r="K321" s="34"/>
    </row>
    <row r="322" spans="1:75" x14ac:dyDescent="0.25">
      <c r="A322" s="31"/>
      <c r="C322" s="32" t="s">
        <v>631</v>
      </c>
      <c r="D322" s="32" t="s">
        <v>52</v>
      </c>
      <c r="F322" s="33">
        <v>0.36</v>
      </c>
      <c r="K322" s="34"/>
    </row>
    <row r="323" spans="1:75" ht="13.5" customHeight="1" x14ac:dyDescent="0.25">
      <c r="A323" s="2" t="s">
        <v>632</v>
      </c>
      <c r="B323" s="3" t="s">
        <v>633</v>
      </c>
      <c r="C323" s="83" t="s">
        <v>634</v>
      </c>
      <c r="D323" s="80"/>
      <c r="E323" s="3" t="s">
        <v>71</v>
      </c>
      <c r="F323" s="28">
        <v>0.41849999999999998</v>
      </c>
      <c r="G323" s="28">
        <v>0</v>
      </c>
      <c r="H323" s="28">
        <f>F323*AO323</f>
        <v>0</v>
      </c>
      <c r="I323" s="28">
        <f>F323*AP323</f>
        <v>0</v>
      </c>
      <c r="J323" s="28">
        <f>F323*G323</f>
        <v>0</v>
      </c>
      <c r="K323" s="29" t="s">
        <v>61</v>
      </c>
      <c r="Z323" s="28">
        <f>IF(AQ323="5",BJ323,0)</f>
        <v>0</v>
      </c>
      <c r="AB323" s="28">
        <f>IF(AQ323="1",BH323,0)</f>
        <v>0</v>
      </c>
      <c r="AC323" s="28">
        <f>IF(AQ323="1",BI323,0)</f>
        <v>0</v>
      </c>
      <c r="AD323" s="28">
        <f>IF(AQ323="7",BH323,0)</f>
        <v>0</v>
      </c>
      <c r="AE323" s="28">
        <f>IF(AQ323="7",BI323,0)</f>
        <v>0</v>
      </c>
      <c r="AF323" s="28">
        <f>IF(AQ323="2",BH323,0)</f>
        <v>0</v>
      </c>
      <c r="AG323" s="28">
        <f>IF(AQ323="2",BI323,0)</f>
        <v>0</v>
      </c>
      <c r="AH323" s="28">
        <f>IF(AQ323="0",BJ323,0)</f>
        <v>0</v>
      </c>
      <c r="AI323" s="10" t="s">
        <v>236</v>
      </c>
      <c r="AJ323" s="28">
        <f>IF(AN323=0,J323,0)</f>
        <v>0</v>
      </c>
      <c r="AK323" s="28">
        <f>IF(AN323=12,J323,0)</f>
        <v>0</v>
      </c>
      <c r="AL323" s="28">
        <f>IF(AN323=21,J323,0)</f>
        <v>0</v>
      </c>
      <c r="AN323" s="28">
        <v>21</v>
      </c>
      <c r="AO323" s="28">
        <f>G323*0.735371271</f>
        <v>0</v>
      </c>
      <c r="AP323" s="28">
        <f>G323*(1-0.735371271)</f>
        <v>0</v>
      </c>
      <c r="AQ323" s="30" t="s">
        <v>57</v>
      </c>
      <c r="AV323" s="28">
        <f>AW323+AX323</f>
        <v>0</v>
      </c>
      <c r="AW323" s="28">
        <f>F323*AO323</f>
        <v>0</v>
      </c>
      <c r="AX323" s="28">
        <f>F323*AP323</f>
        <v>0</v>
      </c>
      <c r="AY323" s="30" t="s">
        <v>585</v>
      </c>
      <c r="AZ323" s="30" t="s">
        <v>586</v>
      </c>
      <c r="BA323" s="10" t="s">
        <v>242</v>
      </c>
      <c r="BC323" s="28">
        <f>AW323+AX323</f>
        <v>0</v>
      </c>
      <c r="BD323" s="28">
        <f>G323/(100-BE323)*100</f>
        <v>0</v>
      </c>
      <c r="BE323" s="28">
        <v>0</v>
      </c>
      <c r="BF323" s="28">
        <f>323</f>
        <v>323</v>
      </c>
      <c r="BH323" s="28">
        <f>F323*AO323</f>
        <v>0</v>
      </c>
      <c r="BI323" s="28">
        <f>F323*AP323</f>
        <v>0</v>
      </c>
      <c r="BJ323" s="28">
        <f>F323*G323</f>
        <v>0</v>
      </c>
      <c r="BK323" s="28"/>
      <c r="BL323" s="28">
        <v>41</v>
      </c>
      <c r="BW323" s="28">
        <v>21</v>
      </c>
    </row>
    <row r="324" spans="1:75" x14ac:dyDescent="0.25">
      <c r="A324" s="31"/>
      <c r="C324" s="32" t="s">
        <v>635</v>
      </c>
      <c r="D324" s="32" t="s">
        <v>636</v>
      </c>
      <c r="F324" s="33">
        <v>2.06E-2</v>
      </c>
      <c r="K324" s="34"/>
    </row>
    <row r="325" spans="1:75" x14ac:dyDescent="0.25">
      <c r="A325" s="31"/>
      <c r="C325" s="32" t="s">
        <v>637</v>
      </c>
      <c r="D325" s="32" t="s">
        <v>638</v>
      </c>
      <c r="F325" s="33">
        <v>8.3900000000000002E-2</v>
      </c>
      <c r="K325" s="34"/>
    </row>
    <row r="326" spans="1:75" x14ac:dyDescent="0.25">
      <c r="A326" s="31"/>
      <c r="C326" s="32" t="s">
        <v>639</v>
      </c>
      <c r="D326" s="32" t="s">
        <v>640</v>
      </c>
      <c r="F326" s="33">
        <v>1.8499999999999999E-2</v>
      </c>
      <c r="K326" s="34"/>
    </row>
    <row r="327" spans="1:75" x14ac:dyDescent="0.25">
      <c r="A327" s="31"/>
      <c r="C327" s="32" t="s">
        <v>641</v>
      </c>
      <c r="D327" s="32" t="s">
        <v>642</v>
      </c>
      <c r="F327" s="33">
        <v>2.6200000000000001E-2</v>
      </c>
      <c r="K327" s="34"/>
    </row>
    <row r="328" spans="1:75" x14ac:dyDescent="0.25">
      <c r="A328" s="31"/>
      <c r="C328" s="32" t="s">
        <v>643</v>
      </c>
      <c r="D328" s="32" t="s">
        <v>644</v>
      </c>
      <c r="F328" s="33">
        <v>1.4200000000000001E-2</v>
      </c>
      <c r="K328" s="34"/>
    </row>
    <row r="329" spans="1:75" x14ac:dyDescent="0.25">
      <c r="A329" s="31"/>
      <c r="C329" s="32" t="s">
        <v>645</v>
      </c>
      <c r="D329" s="32" t="s">
        <v>646</v>
      </c>
      <c r="F329" s="33">
        <v>3.1E-2</v>
      </c>
      <c r="K329" s="34"/>
    </row>
    <row r="330" spans="1:75" x14ac:dyDescent="0.25">
      <c r="A330" s="31"/>
      <c r="C330" s="32" t="s">
        <v>647</v>
      </c>
      <c r="D330" s="32" t="s">
        <v>648</v>
      </c>
      <c r="F330" s="33">
        <v>1.5299999999999999E-2</v>
      </c>
      <c r="K330" s="34"/>
    </row>
    <row r="331" spans="1:75" x14ac:dyDescent="0.25">
      <c r="A331" s="31"/>
      <c r="C331" s="32" t="s">
        <v>649</v>
      </c>
      <c r="D331" s="32" t="s">
        <v>650</v>
      </c>
      <c r="F331" s="33">
        <v>9.4700000000000006E-2</v>
      </c>
      <c r="K331" s="34"/>
    </row>
    <row r="332" spans="1:75" x14ac:dyDescent="0.25">
      <c r="A332" s="31"/>
      <c r="C332" s="32" t="s">
        <v>651</v>
      </c>
      <c r="D332" s="32" t="s">
        <v>652</v>
      </c>
      <c r="F332" s="33">
        <v>1.17E-2</v>
      </c>
      <c r="K332" s="34"/>
    </row>
    <row r="333" spans="1:75" x14ac:dyDescent="0.25">
      <c r="A333" s="31"/>
      <c r="C333" s="32" t="s">
        <v>653</v>
      </c>
      <c r="D333" s="32" t="s">
        <v>654</v>
      </c>
      <c r="F333" s="33">
        <v>2.1399999999999999E-2</v>
      </c>
      <c r="K333" s="34"/>
    </row>
    <row r="334" spans="1:75" x14ac:dyDescent="0.25">
      <c r="A334" s="31"/>
      <c r="C334" s="32" t="s">
        <v>655</v>
      </c>
      <c r="D334" s="32" t="s">
        <v>656</v>
      </c>
      <c r="F334" s="33">
        <v>7.1000000000000004E-3</v>
      </c>
      <c r="K334" s="34"/>
    </row>
    <row r="335" spans="1:75" x14ac:dyDescent="0.25">
      <c r="A335" s="31"/>
      <c r="C335" s="32" t="s">
        <v>657</v>
      </c>
      <c r="D335" s="32" t="s">
        <v>658</v>
      </c>
      <c r="F335" s="33">
        <v>8.0999999999999996E-3</v>
      </c>
      <c r="K335" s="34"/>
    </row>
    <row r="336" spans="1:75" x14ac:dyDescent="0.25">
      <c r="A336" s="31"/>
      <c r="C336" s="32" t="s">
        <v>659</v>
      </c>
      <c r="D336" s="32" t="s">
        <v>660</v>
      </c>
      <c r="F336" s="33">
        <v>4.58E-2</v>
      </c>
      <c r="K336" s="34"/>
    </row>
    <row r="337" spans="1:75" x14ac:dyDescent="0.25">
      <c r="A337" s="31"/>
      <c r="C337" s="32" t="s">
        <v>661</v>
      </c>
      <c r="D337" s="32" t="s">
        <v>662</v>
      </c>
      <c r="F337" s="33">
        <v>0.02</v>
      </c>
      <c r="K337" s="34"/>
    </row>
    <row r="338" spans="1:75" ht="13.5" customHeight="1" x14ac:dyDescent="0.25">
      <c r="A338" s="2" t="s">
        <v>663</v>
      </c>
      <c r="B338" s="3" t="s">
        <v>664</v>
      </c>
      <c r="C338" s="83" t="s">
        <v>665</v>
      </c>
      <c r="D338" s="80"/>
      <c r="E338" s="3" t="s">
        <v>78</v>
      </c>
      <c r="F338" s="28">
        <v>12</v>
      </c>
      <c r="G338" s="28">
        <v>0</v>
      </c>
      <c r="H338" s="28">
        <f>F338*AO338</f>
        <v>0</v>
      </c>
      <c r="I338" s="28">
        <f>F338*AP338</f>
        <v>0</v>
      </c>
      <c r="J338" s="28">
        <f>F338*G338</f>
        <v>0</v>
      </c>
      <c r="K338" s="29" t="s">
        <v>61</v>
      </c>
      <c r="Z338" s="28">
        <f>IF(AQ338="5",BJ338,0)</f>
        <v>0</v>
      </c>
      <c r="AB338" s="28">
        <f>IF(AQ338="1",BH338,0)</f>
        <v>0</v>
      </c>
      <c r="AC338" s="28">
        <f>IF(AQ338="1",BI338,0)</f>
        <v>0</v>
      </c>
      <c r="AD338" s="28">
        <f>IF(AQ338="7",BH338,0)</f>
        <v>0</v>
      </c>
      <c r="AE338" s="28">
        <f>IF(AQ338="7",BI338,0)</f>
        <v>0</v>
      </c>
      <c r="AF338" s="28">
        <f>IF(AQ338="2",BH338,0)</f>
        <v>0</v>
      </c>
      <c r="AG338" s="28">
        <f>IF(AQ338="2",BI338,0)</f>
        <v>0</v>
      </c>
      <c r="AH338" s="28">
        <f>IF(AQ338="0",BJ338,0)</f>
        <v>0</v>
      </c>
      <c r="AI338" s="10" t="s">
        <v>236</v>
      </c>
      <c r="AJ338" s="28">
        <f>IF(AN338=0,J338,0)</f>
        <v>0</v>
      </c>
      <c r="AK338" s="28">
        <f>IF(AN338=12,J338,0)</f>
        <v>0</v>
      </c>
      <c r="AL338" s="28">
        <f>IF(AN338=21,J338,0)</f>
        <v>0</v>
      </c>
      <c r="AN338" s="28">
        <v>21</v>
      </c>
      <c r="AO338" s="28">
        <f>G338*0.213727915</f>
        <v>0</v>
      </c>
      <c r="AP338" s="28">
        <f>G338*(1-0.213727915)</f>
        <v>0</v>
      </c>
      <c r="AQ338" s="30" t="s">
        <v>57</v>
      </c>
      <c r="AV338" s="28">
        <f>AW338+AX338</f>
        <v>0</v>
      </c>
      <c r="AW338" s="28">
        <f>F338*AO338</f>
        <v>0</v>
      </c>
      <c r="AX338" s="28">
        <f>F338*AP338</f>
        <v>0</v>
      </c>
      <c r="AY338" s="30" t="s">
        <v>585</v>
      </c>
      <c r="AZ338" s="30" t="s">
        <v>586</v>
      </c>
      <c r="BA338" s="10" t="s">
        <v>242</v>
      </c>
      <c r="BC338" s="28">
        <f>AW338+AX338</f>
        <v>0</v>
      </c>
      <c r="BD338" s="28">
        <f>G338/(100-BE338)*100</f>
        <v>0</v>
      </c>
      <c r="BE338" s="28">
        <v>0</v>
      </c>
      <c r="BF338" s="28">
        <f>338</f>
        <v>338</v>
      </c>
      <c r="BH338" s="28">
        <f>F338*AO338</f>
        <v>0</v>
      </c>
      <c r="BI338" s="28">
        <f>F338*AP338</f>
        <v>0</v>
      </c>
      <c r="BJ338" s="28">
        <f>F338*G338</f>
        <v>0</v>
      </c>
      <c r="BK338" s="28"/>
      <c r="BL338" s="28">
        <v>41</v>
      </c>
      <c r="BW338" s="28">
        <v>21</v>
      </c>
    </row>
    <row r="339" spans="1:75" x14ac:dyDescent="0.25">
      <c r="A339" s="31"/>
      <c r="C339" s="32" t="s">
        <v>666</v>
      </c>
      <c r="D339" s="32" t="s">
        <v>52</v>
      </c>
      <c r="F339" s="33">
        <v>12</v>
      </c>
      <c r="K339" s="34"/>
    </row>
    <row r="340" spans="1:75" ht="13.5" customHeight="1" x14ac:dyDescent="0.25">
      <c r="A340" s="2" t="s">
        <v>667</v>
      </c>
      <c r="B340" s="3" t="s">
        <v>668</v>
      </c>
      <c r="C340" s="83" t="s">
        <v>669</v>
      </c>
      <c r="D340" s="80"/>
      <c r="E340" s="3" t="s">
        <v>78</v>
      </c>
      <c r="F340" s="28">
        <v>12</v>
      </c>
      <c r="G340" s="28">
        <v>0</v>
      </c>
      <c r="H340" s="28">
        <f>F340*AO340</f>
        <v>0</v>
      </c>
      <c r="I340" s="28">
        <f>F340*AP340</f>
        <v>0</v>
      </c>
      <c r="J340" s="28">
        <f>F340*G340</f>
        <v>0</v>
      </c>
      <c r="K340" s="29" t="s">
        <v>61</v>
      </c>
      <c r="Z340" s="28">
        <f>IF(AQ340="5",BJ340,0)</f>
        <v>0</v>
      </c>
      <c r="AB340" s="28">
        <f>IF(AQ340="1",BH340,0)</f>
        <v>0</v>
      </c>
      <c r="AC340" s="28">
        <f>IF(AQ340="1",BI340,0)</f>
        <v>0</v>
      </c>
      <c r="AD340" s="28">
        <f>IF(AQ340="7",BH340,0)</f>
        <v>0</v>
      </c>
      <c r="AE340" s="28">
        <f>IF(AQ340="7",BI340,0)</f>
        <v>0</v>
      </c>
      <c r="AF340" s="28">
        <f>IF(AQ340="2",BH340,0)</f>
        <v>0</v>
      </c>
      <c r="AG340" s="28">
        <f>IF(AQ340="2",BI340,0)</f>
        <v>0</v>
      </c>
      <c r="AH340" s="28">
        <f>IF(AQ340="0",BJ340,0)</f>
        <v>0</v>
      </c>
      <c r="AI340" s="10" t="s">
        <v>236</v>
      </c>
      <c r="AJ340" s="28">
        <f>IF(AN340=0,J340,0)</f>
        <v>0</v>
      </c>
      <c r="AK340" s="28">
        <f>IF(AN340=12,J340,0)</f>
        <v>0</v>
      </c>
      <c r="AL340" s="28">
        <f>IF(AN340=21,J340,0)</f>
        <v>0</v>
      </c>
      <c r="AN340" s="28">
        <v>21</v>
      </c>
      <c r="AO340" s="28">
        <f>G340*0</f>
        <v>0</v>
      </c>
      <c r="AP340" s="28">
        <f>G340*(1-0)</f>
        <v>0</v>
      </c>
      <c r="AQ340" s="30" t="s">
        <v>57</v>
      </c>
      <c r="AV340" s="28">
        <f>AW340+AX340</f>
        <v>0</v>
      </c>
      <c r="AW340" s="28">
        <f>F340*AO340</f>
        <v>0</v>
      </c>
      <c r="AX340" s="28">
        <f>F340*AP340</f>
        <v>0</v>
      </c>
      <c r="AY340" s="30" t="s">
        <v>585</v>
      </c>
      <c r="AZ340" s="30" t="s">
        <v>586</v>
      </c>
      <c r="BA340" s="10" t="s">
        <v>242</v>
      </c>
      <c r="BC340" s="28">
        <f>AW340+AX340</f>
        <v>0</v>
      </c>
      <c r="BD340" s="28">
        <f>G340/(100-BE340)*100</f>
        <v>0</v>
      </c>
      <c r="BE340" s="28">
        <v>0</v>
      </c>
      <c r="BF340" s="28">
        <f>340</f>
        <v>340</v>
      </c>
      <c r="BH340" s="28">
        <f>F340*AO340</f>
        <v>0</v>
      </c>
      <c r="BI340" s="28">
        <f>F340*AP340</f>
        <v>0</v>
      </c>
      <c r="BJ340" s="28">
        <f>F340*G340</f>
        <v>0</v>
      </c>
      <c r="BK340" s="28"/>
      <c r="BL340" s="28">
        <v>41</v>
      </c>
      <c r="BW340" s="28">
        <v>21</v>
      </c>
    </row>
    <row r="341" spans="1:75" ht="27" customHeight="1" x14ac:dyDescent="0.25">
      <c r="A341" s="2" t="s">
        <v>670</v>
      </c>
      <c r="B341" s="3" t="s">
        <v>671</v>
      </c>
      <c r="C341" s="83" t="s">
        <v>672</v>
      </c>
      <c r="D341" s="80"/>
      <c r="E341" s="3" t="s">
        <v>148</v>
      </c>
      <c r="F341" s="28">
        <v>4.4800000000000004</v>
      </c>
      <c r="G341" s="28">
        <v>0</v>
      </c>
      <c r="H341" s="28">
        <f>F341*AO341</f>
        <v>0</v>
      </c>
      <c r="I341" s="28">
        <f>F341*AP341</f>
        <v>0</v>
      </c>
      <c r="J341" s="28">
        <f>F341*G341</f>
        <v>0</v>
      </c>
      <c r="K341" s="29" t="s">
        <v>61</v>
      </c>
      <c r="Z341" s="28">
        <f>IF(AQ341="5",BJ341,0)</f>
        <v>0</v>
      </c>
      <c r="AB341" s="28">
        <f>IF(AQ341="1",BH341,0)</f>
        <v>0</v>
      </c>
      <c r="AC341" s="28">
        <f>IF(AQ341="1",BI341,0)</f>
        <v>0</v>
      </c>
      <c r="AD341" s="28">
        <f>IF(AQ341="7",BH341,0)</f>
        <v>0</v>
      </c>
      <c r="AE341" s="28">
        <f>IF(AQ341="7",BI341,0)</f>
        <v>0</v>
      </c>
      <c r="AF341" s="28">
        <f>IF(AQ341="2",BH341,0)</f>
        <v>0</v>
      </c>
      <c r="AG341" s="28">
        <f>IF(AQ341="2",BI341,0)</f>
        <v>0</v>
      </c>
      <c r="AH341" s="28">
        <f>IF(AQ341="0",BJ341,0)</f>
        <v>0</v>
      </c>
      <c r="AI341" s="10" t="s">
        <v>236</v>
      </c>
      <c r="AJ341" s="28">
        <f>IF(AN341=0,J341,0)</f>
        <v>0</v>
      </c>
      <c r="AK341" s="28">
        <f>IF(AN341=12,J341,0)</f>
        <v>0</v>
      </c>
      <c r="AL341" s="28">
        <f>IF(AN341=21,J341,0)</f>
        <v>0</v>
      </c>
      <c r="AN341" s="28">
        <v>21</v>
      </c>
      <c r="AO341" s="28">
        <f>G341*0.513754411</f>
        <v>0</v>
      </c>
      <c r="AP341" s="28">
        <f>G341*(1-0.513754411)</f>
        <v>0</v>
      </c>
      <c r="AQ341" s="30" t="s">
        <v>57</v>
      </c>
      <c r="AV341" s="28">
        <f>AW341+AX341</f>
        <v>0</v>
      </c>
      <c r="AW341" s="28">
        <f>F341*AO341</f>
        <v>0</v>
      </c>
      <c r="AX341" s="28">
        <f>F341*AP341</f>
        <v>0</v>
      </c>
      <c r="AY341" s="30" t="s">
        <v>585</v>
      </c>
      <c r="AZ341" s="30" t="s">
        <v>586</v>
      </c>
      <c r="BA341" s="10" t="s">
        <v>242</v>
      </c>
      <c r="BC341" s="28">
        <f>AW341+AX341</f>
        <v>0</v>
      </c>
      <c r="BD341" s="28">
        <f>G341/(100-BE341)*100</f>
        <v>0</v>
      </c>
      <c r="BE341" s="28">
        <v>0</v>
      </c>
      <c r="BF341" s="28">
        <f>341</f>
        <v>341</v>
      </c>
      <c r="BH341" s="28">
        <f>F341*AO341</f>
        <v>0</v>
      </c>
      <c r="BI341" s="28">
        <f>F341*AP341</f>
        <v>0</v>
      </c>
      <c r="BJ341" s="28">
        <f>F341*G341</f>
        <v>0</v>
      </c>
      <c r="BK341" s="28"/>
      <c r="BL341" s="28">
        <v>41</v>
      </c>
      <c r="BW341" s="28">
        <v>21</v>
      </c>
    </row>
    <row r="342" spans="1:75" x14ac:dyDescent="0.25">
      <c r="A342" s="31"/>
      <c r="C342" s="32" t="s">
        <v>673</v>
      </c>
      <c r="D342" s="32" t="s">
        <v>52</v>
      </c>
      <c r="F342" s="33">
        <v>4.4800000000000004</v>
      </c>
      <c r="K342" s="34"/>
    </row>
    <row r="343" spans="1:75" ht="13.5" customHeight="1" x14ac:dyDescent="0.25">
      <c r="A343" s="2" t="s">
        <v>674</v>
      </c>
      <c r="B343" s="3" t="s">
        <v>675</v>
      </c>
      <c r="C343" s="83" t="s">
        <v>676</v>
      </c>
      <c r="D343" s="80"/>
      <c r="E343" s="3" t="s">
        <v>148</v>
      </c>
      <c r="F343" s="28">
        <v>4.4800000000000004</v>
      </c>
      <c r="G343" s="28">
        <v>0</v>
      </c>
      <c r="H343" s="28">
        <f>F343*AO343</f>
        <v>0</v>
      </c>
      <c r="I343" s="28">
        <f>F343*AP343</f>
        <v>0</v>
      </c>
      <c r="J343" s="28">
        <f>F343*G343</f>
        <v>0</v>
      </c>
      <c r="K343" s="29" t="s">
        <v>61</v>
      </c>
      <c r="Z343" s="28">
        <f>IF(AQ343="5",BJ343,0)</f>
        <v>0</v>
      </c>
      <c r="AB343" s="28">
        <f>IF(AQ343="1",BH343,0)</f>
        <v>0</v>
      </c>
      <c r="AC343" s="28">
        <f>IF(AQ343="1",BI343,0)</f>
        <v>0</v>
      </c>
      <c r="AD343" s="28">
        <f>IF(AQ343="7",BH343,0)</f>
        <v>0</v>
      </c>
      <c r="AE343" s="28">
        <f>IF(AQ343="7",BI343,0)</f>
        <v>0</v>
      </c>
      <c r="AF343" s="28">
        <f>IF(AQ343="2",BH343,0)</f>
        <v>0</v>
      </c>
      <c r="AG343" s="28">
        <f>IF(AQ343="2",BI343,0)</f>
        <v>0</v>
      </c>
      <c r="AH343" s="28">
        <f>IF(AQ343="0",BJ343,0)</f>
        <v>0</v>
      </c>
      <c r="AI343" s="10" t="s">
        <v>236</v>
      </c>
      <c r="AJ343" s="28">
        <f>IF(AN343=0,J343,0)</f>
        <v>0</v>
      </c>
      <c r="AK343" s="28">
        <f>IF(AN343=12,J343,0)</f>
        <v>0</v>
      </c>
      <c r="AL343" s="28">
        <f>IF(AN343=21,J343,0)</f>
        <v>0</v>
      </c>
      <c r="AN343" s="28">
        <v>21</v>
      </c>
      <c r="AO343" s="28">
        <f>G343*0</f>
        <v>0</v>
      </c>
      <c r="AP343" s="28">
        <f>G343*(1-0)</f>
        <v>0</v>
      </c>
      <c r="AQ343" s="30" t="s">
        <v>57</v>
      </c>
      <c r="AV343" s="28">
        <f>AW343+AX343</f>
        <v>0</v>
      </c>
      <c r="AW343" s="28">
        <f>F343*AO343</f>
        <v>0</v>
      </c>
      <c r="AX343" s="28">
        <f>F343*AP343</f>
        <v>0</v>
      </c>
      <c r="AY343" s="30" t="s">
        <v>585</v>
      </c>
      <c r="AZ343" s="30" t="s">
        <v>586</v>
      </c>
      <c r="BA343" s="10" t="s">
        <v>242</v>
      </c>
      <c r="BC343" s="28">
        <f>AW343+AX343</f>
        <v>0</v>
      </c>
      <c r="BD343" s="28">
        <f>G343/(100-BE343)*100</f>
        <v>0</v>
      </c>
      <c r="BE343" s="28">
        <v>0</v>
      </c>
      <c r="BF343" s="28">
        <f>343</f>
        <v>343</v>
      </c>
      <c r="BH343" s="28">
        <f>F343*AO343</f>
        <v>0</v>
      </c>
      <c r="BI343" s="28">
        <f>F343*AP343</f>
        <v>0</v>
      </c>
      <c r="BJ343" s="28">
        <f>F343*G343</f>
        <v>0</v>
      </c>
      <c r="BK343" s="28"/>
      <c r="BL343" s="28">
        <v>41</v>
      </c>
      <c r="BW343" s="28">
        <v>21</v>
      </c>
    </row>
    <row r="344" spans="1:75" x14ac:dyDescent="0.25">
      <c r="A344" s="24" t="s">
        <v>52</v>
      </c>
      <c r="B344" s="25" t="s">
        <v>677</v>
      </c>
      <c r="C344" s="139" t="s">
        <v>678</v>
      </c>
      <c r="D344" s="140"/>
      <c r="E344" s="26" t="s">
        <v>4</v>
      </c>
      <c r="F344" s="26" t="s">
        <v>4</v>
      </c>
      <c r="G344" s="26" t="s">
        <v>4</v>
      </c>
      <c r="H344" s="1">
        <f>SUM(H345:H357)</f>
        <v>0</v>
      </c>
      <c r="I344" s="1">
        <f>SUM(I345:I357)</f>
        <v>0</v>
      </c>
      <c r="J344" s="1">
        <f>SUM(J345:J357)</f>
        <v>0</v>
      </c>
      <c r="K344" s="27" t="s">
        <v>52</v>
      </c>
      <c r="AI344" s="10" t="s">
        <v>236</v>
      </c>
      <c r="AS344" s="1">
        <f>SUM(AJ345:AJ357)</f>
        <v>0</v>
      </c>
      <c r="AT344" s="1">
        <f>SUM(AK345:AK357)</f>
        <v>0</v>
      </c>
      <c r="AU344" s="1">
        <f>SUM(AL345:AL357)</f>
        <v>0</v>
      </c>
    </row>
    <row r="345" spans="1:75" ht="27" customHeight="1" x14ac:dyDescent="0.25">
      <c r="A345" s="2" t="s">
        <v>679</v>
      </c>
      <c r="B345" s="3" t="s">
        <v>680</v>
      </c>
      <c r="C345" s="83" t="s">
        <v>681</v>
      </c>
      <c r="D345" s="80"/>
      <c r="E345" s="3" t="s">
        <v>137</v>
      </c>
      <c r="F345" s="28">
        <v>6</v>
      </c>
      <c r="G345" s="28">
        <v>0</v>
      </c>
      <c r="H345" s="28">
        <f>F345*AO345</f>
        <v>0</v>
      </c>
      <c r="I345" s="28">
        <f>F345*AP345</f>
        <v>0</v>
      </c>
      <c r="J345" s="28">
        <f>F345*G345</f>
        <v>0</v>
      </c>
      <c r="K345" s="29" t="s">
        <v>52</v>
      </c>
      <c r="Z345" s="28">
        <f>IF(AQ345="5",BJ345,0)</f>
        <v>0</v>
      </c>
      <c r="AB345" s="28">
        <f>IF(AQ345="1",BH345,0)</f>
        <v>0</v>
      </c>
      <c r="AC345" s="28">
        <f>IF(AQ345="1",BI345,0)</f>
        <v>0</v>
      </c>
      <c r="AD345" s="28">
        <f>IF(AQ345="7",BH345,0)</f>
        <v>0</v>
      </c>
      <c r="AE345" s="28">
        <f>IF(AQ345="7",BI345,0)</f>
        <v>0</v>
      </c>
      <c r="AF345" s="28">
        <f>IF(AQ345="2",BH345,0)</f>
        <v>0</v>
      </c>
      <c r="AG345" s="28">
        <f>IF(AQ345="2",BI345,0)</f>
        <v>0</v>
      </c>
      <c r="AH345" s="28">
        <f>IF(AQ345="0",BJ345,0)</f>
        <v>0</v>
      </c>
      <c r="AI345" s="10" t="s">
        <v>236</v>
      </c>
      <c r="AJ345" s="28">
        <f>IF(AN345=0,J345,0)</f>
        <v>0</v>
      </c>
      <c r="AK345" s="28">
        <f>IF(AN345=12,J345,0)</f>
        <v>0</v>
      </c>
      <c r="AL345" s="28">
        <f>IF(AN345=21,J345,0)</f>
        <v>0</v>
      </c>
      <c r="AN345" s="28">
        <v>21</v>
      </c>
      <c r="AO345" s="28">
        <f>G345*0.927835052</f>
        <v>0</v>
      </c>
      <c r="AP345" s="28">
        <f>G345*(1-0.927835052)</f>
        <v>0</v>
      </c>
      <c r="AQ345" s="30" t="s">
        <v>57</v>
      </c>
      <c r="AV345" s="28">
        <f>AW345+AX345</f>
        <v>0</v>
      </c>
      <c r="AW345" s="28">
        <f>F345*AO345</f>
        <v>0</v>
      </c>
      <c r="AX345" s="28">
        <f>F345*AP345</f>
        <v>0</v>
      </c>
      <c r="AY345" s="30" t="s">
        <v>682</v>
      </c>
      <c r="AZ345" s="30" t="s">
        <v>586</v>
      </c>
      <c r="BA345" s="10" t="s">
        <v>242</v>
      </c>
      <c r="BC345" s="28">
        <f>AW345+AX345</f>
        <v>0</v>
      </c>
      <c r="BD345" s="28">
        <f>G345/(100-BE345)*100</f>
        <v>0</v>
      </c>
      <c r="BE345" s="28">
        <v>0</v>
      </c>
      <c r="BF345" s="28">
        <f>345</f>
        <v>345</v>
      </c>
      <c r="BH345" s="28">
        <f>F345*AO345</f>
        <v>0</v>
      </c>
      <c r="BI345" s="28">
        <f>F345*AP345</f>
        <v>0</v>
      </c>
      <c r="BJ345" s="28">
        <f>F345*G345</f>
        <v>0</v>
      </c>
      <c r="BK345" s="28"/>
      <c r="BL345" s="28">
        <v>452</v>
      </c>
      <c r="BW345" s="28">
        <v>21</v>
      </c>
    </row>
    <row r="346" spans="1:75" x14ac:dyDescent="0.25">
      <c r="A346" s="31"/>
      <c r="C346" s="32" t="s">
        <v>93</v>
      </c>
      <c r="D346" s="32" t="s">
        <v>52</v>
      </c>
      <c r="F346" s="33">
        <v>6</v>
      </c>
      <c r="K346" s="34"/>
    </row>
    <row r="347" spans="1:75" ht="13.5" customHeight="1" x14ac:dyDescent="0.25">
      <c r="A347" s="2" t="s">
        <v>683</v>
      </c>
      <c r="B347" s="3" t="s">
        <v>684</v>
      </c>
      <c r="C347" s="83" t="s">
        <v>685</v>
      </c>
      <c r="D347" s="80"/>
      <c r="E347" s="3" t="s">
        <v>137</v>
      </c>
      <c r="F347" s="28">
        <v>24</v>
      </c>
      <c r="G347" s="28">
        <v>0</v>
      </c>
      <c r="H347" s="28">
        <f>F347*AO347</f>
        <v>0</v>
      </c>
      <c r="I347" s="28">
        <f>F347*AP347</f>
        <v>0</v>
      </c>
      <c r="J347" s="28">
        <f>F347*G347</f>
        <v>0</v>
      </c>
      <c r="K347" s="29" t="s">
        <v>52</v>
      </c>
      <c r="Z347" s="28">
        <f>IF(AQ347="5",BJ347,0)</f>
        <v>0</v>
      </c>
      <c r="AB347" s="28">
        <f>IF(AQ347="1",BH347,0)</f>
        <v>0</v>
      </c>
      <c r="AC347" s="28">
        <f>IF(AQ347="1",BI347,0)</f>
        <v>0</v>
      </c>
      <c r="AD347" s="28">
        <f>IF(AQ347="7",BH347,0)</f>
        <v>0</v>
      </c>
      <c r="AE347" s="28">
        <f>IF(AQ347="7",BI347,0)</f>
        <v>0</v>
      </c>
      <c r="AF347" s="28">
        <f>IF(AQ347="2",BH347,0)</f>
        <v>0</v>
      </c>
      <c r="AG347" s="28">
        <f>IF(AQ347="2",BI347,0)</f>
        <v>0</v>
      </c>
      <c r="AH347" s="28">
        <f>IF(AQ347="0",BJ347,0)</f>
        <v>0</v>
      </c>
      <c r="AI347" s="10" t="s">
        <v>236</v>
      </c>
      <c r="AJ347" s="28">
        <f>IF(AN347=0,J347,0)</f>
        <v>0</v>
      </c>
      <c r="AK347" s="28">
        <f>IF(AN347=12,J347,0)</f>
        <v>0</v>
      </c>
      <c r="AL347" s="28">
        <f>IF(AN347=21,J347,0)</f>
        <v>0</v>
      </c>
      <c r="AN347" s="28">
        <v>21</v>
      </c>
      <c r="AO347" s="28">
        <f>G347*0.777777778</f>
        <v>0</v>
      </c>
      <c r="AP347" s="28">
        <f>G347*(1-0.777777778)</f>
        <v>0</v>
      </c>
      <c r="AQ347" s="30" t="s">
        <v>57</v>
      </c>
      <c r="AV347" s="28">
        <f>AW347+AX347</f>
        <v>0</v>
      </c>
      <c r="AW347" s="28">
        <f>F347*AO347</f>
        <v>0</v>
      </c>
      <c r="AX347" s="28">
        <f>F347*AP347</f>
        <v>0</v>
      </c>
      <c r="AY347" s="30" t="s">
        <v>682</v>
      </c>
      <c r="AZ347" s="30" t="s">
        <v>586</v>
      </c>
      <c r="BA347" s="10" t="s">
        <v>242</v>
      </c>
      <c r="BC347" s="28">
        <f>AW347+AX347</f>
        <v>0</v>
      </c>
      <c r="BD347" s="28">
        <f>G347/(100-BE347)*100</f>
        <v>0</v>
      </c>
      <c r="BE347" s="28">
        <v>0</v>
      </c>
      <c r="BF347" s="28">
        <f>347</f>
        <v>347</v>
      </c>
      <c r="BH347" s="28">
        <f>F347*AO347</f>
        <v>0</v>
      </c>
      <c r="BI347" s="28">
        <f>F347*AP347</f>
        <v>0</v>
      </c>
      <c r="BJ347" s="28">
        <f>F347*G347</f>
        <v>0</v>
      </c>
      <c r="BK347" s="28"/>
      <c r="BL347" s="28">
        <v>452</v>
      </c>
      <c r="BW347" s="28">
        <v>21</v>
      </c>
    </row>
    <row r="348" spans="1:75" x14ac:dyDescent="0.25">
      <c r="A348" s="31"/>
      <c r="C348" s="32" t="s">
        <v>191</v>
      </c>
      <c r="D348" s="32" t="s">
        <v>52</v>
      </c>
      <c r="F348" s="33">
        <v>24</v>
      </c>
      <c r="K348" s="34"/>
    </row>
    <row r="349" spans="1:75" ht="13.5" customHeight="1" x14ac:dyDescent="0.25">
      <c r="A349" s="2" t="s">
        <v>686</v>
      </c>
      <c r="B349" s="3" t="s">
        <v>687</v>
      </c>
      <c r="C349" s="83" t="s">
        <v>688</v>
      </c>
      <c r="D349" s="80"/>
      <c r="E349" s="3" t="s">
        <v>137</v>
      </c>
      <c r="F349" s="28">
        <v>3</v>
      </c>
      <c r="G349" s="28">
        <v>0</v>
      </c>
      <c r="H349" s="28">
        <f>F349*AO349</f>
        <v>0</v>
      </c>
      <c r="I349" s="28">
        <f>F349*AP349</f>
        <v>0</v>
      </c>
      <c r="J349" s="28">
        <f>F349*G349</f>
        <v>0</v>
      </c>
      <c r="K349" s="29" t="s">
        <v>52</v>
      </c>
      <c r="Z349" s="28">
        <f>IF(AQ349="5",BJ349,0)</f>
        <v>0</v>
      </c>
      <c r="AB349" s="28">
        <f>IF(AQ349="1",BH349,0)</f>
        <v>0</v>
      </c>
      <c r="AC349" s="28">
        <f>IF(AQ349="1",BI349,0)</f>
        <v>0</v>
      </c>
      <c r="AD349" s="28">
        <f>IF(AQ349="7",BH349,0)</f>
        <v>0</v>
      </c>
      <c r="AE349" s="28">
        <f>IF(AQ349="7",BI349,0)</f>
        <v>0</v>
      </c>
      <c r="AF349" s="28">
        <f>IF(AQ349="2",BH349,0)</f>
        <v>0</v>
      </c>
      <c r="AG349" s="28">
        <f>IF(AQ349="2",BI349,0)</f>
        <v>0</v>
      </c>
      <c r="AH349" s="28">
        <f>IF(AQ349="0",BJ349,0)</f>
        <v>0</v>
      </c>
      <c r="AI349" s="10" t="s">
        <v>236</v>
      </c>
      <c r="AJ349" s="28">
        <f>IF(AN349=0,J349,0)</f>
        <v>0</v>
      </c>
      <c r="AK349" s="28">
        <f>IF(AN349=12,J349,0)</f>
        <v>0</v>
      </c>
      <c r="AL349" s="28">
        <f>IF(AN349=21,J349,0)</f>
        <v>0</v>
      </c>
      <c r="AN349" s="28">
        <v>21</v>
      </c>
      <c r="AO349" s="28">
        <f>G349*0.692307692</f>
        <v>0</v>
      </c>
      <c r="AP349" s="28">
        <f>G349*(1-0.692307692)</f>
        <v>0</v>
      </c>
      <c r="AQ349" s="30" t="s">
        <v>57</v>
      </c>
      <c r="AV349" s="28">
        <f>AW349+AX349</f>
        <v>0</v>
      </c>
      <c r="AW349" s="28">
        <f>F349*AO349</f>
        <v>0</v>
      </c>
      <c r="AX349" s="28">
        <f>F349*AP349</f>
        <v>0</v>
      </c>
      <c r="AY349" s="30" t="s">
        <v>682</v>
      </c>
      <c r="AZ349" s="30" t="s">
        <v>586</v>
      </c>
      <c r="BA349" s="10" t="s">
        <v>242</v>
      </c>
      <c r="BC349" s="28">
        <f>AW349+AX349</f>
        <v>0</v>
      </c>
      <c r="BD349" s="28">
        <f>G349/(100-BE349)*100</f>
        <v>0</v>
      </c>
      <c r="BE349" s="28">
        <v>0</v>
      </c>
      <c r="BF349" s="28">
        <f>349</f>
        <v>349</v>
      </c>
      <c r="BH349" s="28">
        <f>F349*AO349</f>
        <v>0</v>
      </c>
      <c r="BI349" s="28">
        <f>F349*AP349</f>
        <v>0</v>
      </c>
      <c r="BJ349" s="28">
        <f>F349*G349</f>
        <v>0</v>
      </c>
      <c r="BK349" s="28"/>
      <c r="BL349" s="28">
        <v>452</v>
      </c>
      <c r="BW349" s="28">
        <v>21</v>
      </c>
    </row>
    <row r="350" spans="1:75" x14ac:dyDescent="0.25">
      <c r="A350" s="31"/>
      <c r="C350" s="32" t="s">
        <v>75</v>
      </c>
      <c r="D350" s="32" t="s">
        <v>52</v>
      </c>
      <c r="F350" s="33">
        <v>3</v>
      </c>
      <c r="K350" s="34"/>
    </row>
    <row r="351" spans="1:75" ht="27" customHeight="1" x14ac:dyDescent="0.25">
      <c r="A351" s="2" t="s">
        <v>177</v>
      </c>
      <c r="B351" s="3" t="s">
        <v>689</v>
      </c>
      <c r="C351" s="83" t="s">
        <v>690</v>
      </c>
      <c r="D351" s="80"/>
      <c r="E351" s="3" t="s">
        <v>137</v>
      </c>
      <c r="F351" s="28">
        <v>1</v>
      </c>
      <c r="G351" s="28">
        <v>0</v>
      </c>
      <c r="H351" s="28">
        <f>F351*AO351</f>
        <v>0</v>
      </c>
      <c r="I351" s="28">
        <f>F351*AP351</f>
        <v>0</v>
      </c>
      <c r="J351" s="28">
        <f>F351*G351</f>
        <v>0</v>
      </c>
      <c r="K351" s="29" t="s">
        <v>52</v>
      </c>
      <c r="Z351" s="28">
        <f>IF(AQ351="5",BJ351,0)</f>
        <v>0</v>
      </c>
      <c r="AB351" s="28">
        <f>IF(AQ351="1",BH351,0)</f>
        <v>0</v>
      </c>
      <c r="AC351" s="28">
        <f>IF(AQ351="1",BI351,0)</f>
        <v>0</v>
      </c>
      <c r="AD351" s="28">
        <f>IF(AQ351="7",BH351,0)</f>
        <v>0</v>
      </c>
      <c r="AE351" s="28">
        <f>IF(AQ351="7",BI351,0)</f>
        <v>0</v>
      </c>
      <c r="AF351" s="28">
        <f>IF(AQ351="2",BH351,0)</f>
        <v>0</v>
      </c>
      <c r="AG351" s="28">
        <f>IF(AQ351="2",BI351,0)</f>
        <v>0</v>
      </c>
      <c r="AH351" s="28">
        <f>IF(AQ351="0",BJ351,0)</f>
        <v>0</v>
      </c>
      <c r="AI351" s="10" t="s">
        <v>236</v>
      </c>
      <c r="AJ351" s="28">
        <f>IF(AN351=0,J351,0)</f>
        <v>0</v>
      </c>
      <c r="AK351" s="28">
        <f>IF(AN351=12,J351,0)</f>
        <v>0</v>
      </c>
      <c r="AL351" s="28">
        <f>IF(AN351=21,J351,0)</f>
        <v>0</v>
      </c>
      <c r="AN351" s="28">
        <v>21</v>
      </c>
      <c r="AO351" s="28">
        <f>G351*0.818181818</f>
        <v>0</v>
      </c>
      <c r="AP351" s="28">
        <f>G351*(1-0.818181818)</f>
        <v>0</v>
      </c>
      <c r="AQ351" s="30" t="s">
        <v>57</v>
      </c>
      <c r="AV351" s="28">
        <f>AW351+AX351</f>
        <v>0</v>
      </c>
      <c r="AW351" s="28">
        <f>F351*AO351</f>
        <v>0</v>
      </c>
      <c r="AX351" s="28">
        <f>F351*AP351</f>
        <v>0</v>
      </c>
      <c r="AY351" s="30" t="s">
        <v>682</v>
      </c>
      <c r="AZ351" s="30" t="s">
        <v>586</v>
      </c>
      <c r="BA351" s="10" t="s">
        <v>242</v>
      </c>
      <c r="BC351" s="28">
        <f>AW351+AX351</f>
        <v>0</v>
      </c>
      <c r="BD351" s="28">
        <f>G351/(100-BE351)*100</f>
        <v>0</v>
      </c>
      <c r="BE351" s="28">
        <v>0</v>
      </c>
      <c r="BF351" s="28">
        <f>351</f>
        <v>351</v>
      </c>
      <c r="BH351" s="28">
        <f>F351*AO351</f>
        <v>0</v>
      </c>
      <c r="BI351" s="28">
        <f>F351*AP351</f>
        <v>0</v>
      </c>
      <c r="BJ351" s="28">
        <f>F351*G351</f>
        <v>0</v>
      </c>
      <c r="BK351" s="28"/>
      <c r="BL351" s="28">
        <v>452</v>
      </c>
      <c r="BW351" s="28">
        <v>21</v>
      </c>
    </row>
    <row r="352" spans="1:75" x14ac:dyDescent="0.25">
      <c r="A352" s="31"/>
      <c r="C352" s="32" t="s">
        <v>57</v>
      </c>
      <c r="D352" s="32" t="s">
        <v>52</v>
      </c>
      <c r="F352" s="33">
        <v>1</v>
      </c>
      <c r="K352" s="34"/>
    </row>
    <row r="353" spans="1:75" ht="27" customHeight="1" x14ac:dyDescent="0.25">
      <c r="A353" s="2" t="s">
        <v>73</v>
      </c>
      <c r="B353" s="3" t="s">
        <v>691</v>
      </c>
      <c r="C353" s="83" t="s">
        <v>692</v>
      </c>
      <c r="D353" s="80"/>
      <c r="E353" s="3" t="s">
        <v>137</v>
      </c>
      <c r="F353" s="28">
        <v>2</v>
      </c>
      <c r="G353" s="28">
        <v>0</v>
      </c>
      <c r="H353" s="28">
        <f>F353*AO353</f>
        <v>0</v>
      </c>
      <c r="I353" s="28">
        <f>F353*AP353</f>
        <v>0</v>
      </c>
      <c r="J353" s="28">
        <f>F353*G353</f>
        <v>0</v>
      </c>
      <c r="K353" s="29" t="s">
        <v>52</v>
      </c>
      <c r="Z353" s="28">
        <f>IF(AQ353="5",BJ353,0)</f>
        <v>0</v>
      </c>
      <c r="AB353" s="28">
        <f>IF(AQ353="1",BH353,0)</f>
        <v>0</v>
      </c>
      <c r="AC353" s="28">
        <f>IF(AQ353="1",BI353,0)</f>
        <v>0</v>
      </c>
      <c r="AD353" s="28">
        <f>IF(AQ353="7",BH353,0)</f>
        <v>0</v>
      </c>
      <c r="AE353" s="28">
        <f>IF(AQ353="7",BI353,0)</f>
        <v>0</v>
      </c>
      <c r="AF353" s="28">
        <f>IF(AQ353="2",BH353,0)</f>
        <v>0</v>
      </c>
      <c r="AG353" s="28">
        <f>IF(AQ353="2",BI353,0)</f>
        <v>0</v>
      </c>
      <c r="AH353" s="28">
        <f>IF(AQ353="0",BJ353,0)</f>
        <v>0</v>
      </c>
      <c r="AI353" s="10" t="s">
        <v>236</v>
      </c>
      <c r="AJ353" s="28">
        <f>IF(AN353=0,J353,0)</f>
        <v>0</v>
      </c>
      <c r="AK353" s="28">
        <f>IF(AN353=12,J353,0)</f>
        <v>0</v>
      </c>
      <c r="AL353" s="28">
        <f>IF(AN353=21,J353,0)</f>
        <v>0</v>
      </c>
      <c r="AN353" s="28">
        <v>21</v>
      </c>
      <c r="AO353" s="28">
        <f>G353*0.914285714</f>
        <v>0</v>
      </c>
      <c r="AP353" s="28">
        <f>G353*(1-0.914285714)</f>
        <v>0</v>
      </c>
      <c r="AQ353" s="30" t="s">
        <v>57</v>
      </c>
      <c r="AV353" s="28">
        <f>AW353+AX353</f>
        <v>0</v>
      </c>
      <c r="AW353" s="28">
        <f>F353*AO353</f>
        <v>0</v>
      </c>
      <c r="AX353" s="28">
        <f>F353*AP353</f>
        <v>0</v>
      </c>
      <c r="AY353" s="30" t="s">
        <v>682</v>
      </c>
      <c r="AZ353" s="30" t="s">
        <v>586</v>
      </c>
      <c r="BA353" s="10" t="s">
        <v>242</v>
      </c>
      <c r="BC353" s="28">
        <f>AW353+AX353</f>
        <v>0</v>
      </c>
      <c r="BD353" s="28">
        <f>G353/(100-BE353)*100</f>
        <v>0</v>
      </c>
      <c r="BE353" s="28">
        <v>0</v>
      </c>
      <c r="BF353" s="28">
        <f>353</f>
        <v>353</v>
      </c>
      <c r="BH353" s="28">
        <f>F353*AO353</f>
        <v>0</v>
      </c>
      <c r="BI353" s="28">
        <f>F353*AP353</f>
        <v>0</v>
      </c>
      <c r="BJ353" s="28">
        <f>F353*G353</f>
        <v>0</v>
      </c>
      <c r="BK353" s="28"/>
      <c r="BL353" s="28">
        <v>452</v>
      </c>
      <c r="BW353" s="28">
        <v>21</v>
      </c>
    </row>
    <row r="354" spans="1:75" x14ac:dyDescent="0.25">
      <c r="A354" s="31"/>
      <c r="C354" s="32" t="s">
        <v>68</v>
      </c>
      <c r="D354" s="32" t="s">
        <v>52</v>
      </c>
      <c r="F354" s="33">
        <v>2</v>
      </c>
      <c r="K354" s="34"/>
    </row>
    <row r="355" spans="1:75" ht="13.5" customHeight="1" x14ac:dyDescent="0.25">
      <c r="A355" s="2" t="s">
        <v>693</v>
      </c>
      <c r="B355" s="3" t="s">
        <v>694</v>
      </c>
      <c r="C355" s="83" t="s">
        <v>695</v>
      </c>
      <c r="D355" s="80"/>
      <c r="E355" s="3" t="s">
        <v>137</v>
      </c>
      <c r="F355" s="28">
        <v>2</v>
      </c>
      <c r="G355" s="28">
        <v>0</v>
      </c>
      <c r="H355" s="28">
        <f>F355*AO355</f>
        <v>0</v>
      </c>
      <c r="I355" s="28">
        <f>F355*AP355</f>
        <v>0</v>
      </c>
      <c r="J355" s="28">
        <f>F355*G355</f>
        <v>0</v>
      </c>
      <c r="K355" s="29" t="s">
        <v>52</v>
      </c>
      <c r="Z355" s="28">
        <f>IF(AQ355="5",BJ355,0)</f>
        <v>0</v>
      </c>
      <c r="AB355" s="28">
        <f>IF(AQ355="1",BH355,0)</f>
        <v>0</v>
      </c>
      <c r="AC355" s="28">
        <f>IF(AQ355="1",BI355,0)</f>
        <v>0</v>
      </c>
      <c r="AD355" s="28">
        <f>IF(AQ355="7",BH355,0)</f>
        <v>0</v>
      </c>
      <c r="AE355" s="28">
        <f>IF(AQ355="7",BI355,0)</f>
        <v>0</v>
      </c>
      <c r="AF355" s="28">
        <f>IF(AQ355="2",BH355,0)</f>
        <v>0</v>
      </c>
      <c r="AG355" s="28">
        <f>IF(AQ355="2",BI355,0)</f>
        <v>0</v>
      </c>
      <c r="AH355" s="28">
        <f>IF(AQ355="0",BJ355,0)</f>
        <v>0</v>
      </c>
      <c r="AI355" s="10" t="s">
        <v>236</v>
      </c>
      <c r="AJ355" s="28">
        <f>IF(AN355=0,J355,0)</f>
        <v>0</v>
      </c>
      <c r="AK355" s="28">
        <f>IF(AN355=12,J355,0)</f>
        <v>0</v>
      </c>
      <c r="AL355" s="28">
        <f>IF(AN355=21,J355,0)</f>
        <v>0</v>
      </c>
      <c r="AN355" s="28">
        <v>21</v>
      </c>
      <c r="AO355" s="28">
        <f>G355*0.842105263</f>
        <v>0</v>
      </c>
      <c r="AP355" s="28">
        <f>G355*(1-0.842105263)</f>
        <v>0</v>
      </c>
      <c r="AQ355" s="30" t="s">
        <v>57</v>
      </c>
      <c r="AV355" s="28">
        <f>AW355+AX355</f>
        <v>0</v>
      </c>
      <c r="AW355" s="28">
        <f>F355*AO355</f>
        <v>0</v>
      </c>
      <c r="AX355" s="28">
        <f>F355*AP355</f>
        <v>0</v>
      </c>
      <c r="AY355" s="30" t="s">
        <v>682</v>
      </c>
      <c r="AZ355" s="30" t="s">
        <v>586</v>
      </c>
      <c r="BA355" s="10" t="s">
        <v>242</v>
      </c>
      <c r="BC355" s="28">
        <f>AW355+AX355</f>
        <v>0</v>
      </c>
      <c r="BD355" s="28">
        <f>G355/(100-BE355)*100</f>
        <v>0</v>
      </c>
      <c r="BE355" s="28">
        <v>0</v>
      </c>
      <c r="BF355" s="28">
        <f>355</f>
        <v>355</v>
      </c>
      <c r="BH355" s="28">
        <f>F355*AO355</f>
        <v>0</v>
      </c>
      <c r="BI355" s="28">
        <f>F355*AP355</f>
        <v>0</v>
      </c>
      <c r="BJ355" s="28">
        <f>F355*G355</f>
        <v>0</v>
      </c>
      <c r="BK355" s="28"/>
      <c r="BL355" s="28">
        <v>452</v>
      </c>
      <c r="BW355" s="28">
        <v>21</v>
      </c>
    </row>
    <row r="356" spans="1:75" x14ac:dyDescent="0.25">
      <c r="A356" s="31"/>
      <c r="C356" s="32" t="s">
        <v>68</v>
      </c>
      <c r="D356" s="32" t="s">
        <v>52</v>
      </c>
      <c r="F356" s="33">
        <v>2</v>
      </c>
      <c r="K356" s="34"/>
    </row>
    <row r="357" spans="1:75" ht="27" customHeight="1" x14ac:dyDescent="0.25">
      <c r="A357" s="2" t="s">
        <v>696</v>
      </c>
      <c r="B357" s="3" t="s">
        <v>691</v>
      </c>
      <c r="C357" s="83" t="s">
        <v>697</v>
      </c>
      <c r="D357" s="80"/>
      <c r="E357" s="3" t="s">
        <v>137</v>
      </c>
      <c r="F357" s="28">
        <v>2</v>
      </c>
      <c r="G357" s="28">
        <v>0</v>
      </c>
      <c r="H357" s="28">
        <f>F357*AO357</f>
        <v>0</v>
      </c>
      <c r="I357" s="28">
        <f>F357*AP357</f>
        <v>0</v>
      </c>
      <c r="J357" s="28">
        <f>F357*G357</f>
        <v>0</v>
      </c>
      <c r="K357" s="29" t="s">
        <v>52</v>
      </c>
      <c r="Z357" s="28">
        <f>IF(AQ357="5",BJ357,0)</f>
        <v>0</v>
      </c>
      <c r="AB357" s="28">
        <f>IF(AQ357="1",BH357,0)</f>
        <v>0</v>
      </c>
      <c r="AC357" s="28">
        <f>IF(AQ357="1",BI357,0)</f>
        <v>0</v>
      </c>
      <c r="AD357" s="28">
        <f>IF(AQ357="7",BH357,0)</f>
        <v>0</v>
      </c>
      <c r="AE357" s="28">
        <f>IF(AQ357="7",BI357,0)</f>
        <v>0</v>
      </c>
      <c r="AF357" s="28">
        <f>IF(AQ357="2",BH357,0)</f>
        <v>0</v>
      </c>
      <c r="AG357" s="28">
        <f>IF(AQ357="2",BI357,0)</f>
        <v>0</v>
      </c>
      <c r="AH357" s="28">
        <f>IF(AQ357="0",BJ357,0)</f>
        <v>0</v>
      </c>
      <c r="AI357" s="10" t="s">
        <v>236</v>
      </c>
      <c r="AJ357" s="28">
        <f>IF(AN357=0,J357,0)</f>
        <v>0</v>
      </c>
      <c r="AK357" s="28">
        <f>IF(AN357=12,J357,0)</f>
        <v>0</v>
      </c>
      <c r="AL357" s="28">
        <f>IF(AN357=21,J357,0)</f>
        <v>0</v>
      </c>
      <c r="AN357" s="28">
        <v>21</v>
      </c>
      <c r="AO357" s="28">
        <f>G357*0.912280702</f>
        <v>0</v>
      </c>
      <c r="AP357" s="28">
        <f>G357*(1-0.912280702)</f>
        <v>0</v>
      </c>
      <c r="AQ357" s="30" t="s">
        <v>57</v>
      </c>
      <c r="AV357" s="28">
        <f>AW357+AX357</f>
        <v>0</v>
      </c>
      <c r="AW357" s="28">
        <f>F357*AO357</f>
        <v>0</v>
      </c>
      <c r="AX357" s="28">
        <f>F357*AP357</f>
        <v>0</v>
      </c>
      <c r="AY357" s="30" t="s">
        <v>682</v>
      </c>
      <c r="AZ357" s="30" t="s">
        <v>586</v>
      </c>
      <c r="BA357" s="10" t="s">
        <v>242</v>
      </c>
      <c r="BC357" s="28">
        <f>AW357+AX357</f>
        <v>0</v>
      </c>
      <c r="BD357" s="28">
        <f>G357/(100-BE357)*100</f>
        <v>0</v>
      </c>
      <c r="BE357" s="28">
        <v>0</v>
      </c>
      <c r="BF357" s="28">
        <f>357</f>
        <v>357</v>
      </c>
      <c r="BH357" s="28">
        <f>F357*AO357</f>
        <v>0</v>
      </c>
      <c r="BI357" s="28">
        <f>F357*AP357</f>
        <v>0</v>
      </c>
      <c r="BJ357" s="28">
        <f>F357*G357</f>
        <v>0</v>
      </c>
      <c r="BK357" s="28"/>
      <c r="BL357" s="28">
        <v>452</v>
      </c>
      <c r="BW357" s="28">
        <v>21</v>
      </c>
    </row>
    <row r="358" spans="1:75" x14ac:dyDescent="0.25">
      <c r="A358" s="31"/>
      <c r="C358" s="32" t="s">
        <v>68</v>
      </c>
      <c r="D358" s="32" t="s">
        <v>52</v>
      </c>
      <c r="F358" s="33">
        <v>2</v>
      </c>
      <c r="K358" s="34"/>
    </row>
    <row r="359" spans="1:75" x14ac:dyDescent="0.25">
      <c r="A359" s="24" t="s">
        <v>52</v>
      </c>
      <c r="B359" s="25" t="s">
        <v>410</v>
      </c>
      <c r="C359" s="139" t="s">
        <v>698</v>
      </c>
      <c r="D359" s="140"/>
      <c r="E359" s="26" t="s">
        <v>4</v>
      </c>
      <c r="F359" s="26" t="s">
        <v>4</v>
      </c>
      <c r="G359" s="26" t="s">
        <v>4</v>
      </c>
      <c r="H359" s="1">
        <f>SUM(H360:H363)</f>
        <v>0</v>
      </c>
      <c r="I359" s="1">
        <f>SUM(I360:I363)</f>
        <v>0</v>
      </c>
      <c r="J359" s="1">
        <f>SUM(J360:J363)</f>
        <v>0</v>
      </c>
      <c r="K359" s="27" t="s">
        <v>52</v>
      </c>
      <c r="AI359" s="10" t="s">
        <v>236</v>
      </c>
      <c r="AS359" s="1">
        <f>SUM(AJ360:AJ363)</f>
        <v>0</v>
      </c>
      <c r="AT359" s="1">
        <f>SUM(AK360:AK363)</f>
        <v>0</v>
      </c>
      <c r="AU359" s="1">
        <f>SUM(AL360:AL363)</f>
        <v>0</v>
      </c>
    </row>
    <row r="360" spans="1:75" ht="13.5" customHeight="1" x14ac:dyDescent="0.25">
      <c r="A360" s="2" t="s">
        <v>699</v>
      </c>
      <c r="B360" s="3" t="s">
        <v>700</v>
      </c>
      <c r="C360" s="83" t="s">
        <v>701</v>
      </c>
      <c r="D360" s="80"/>
      <c r="E360" s="3" t="s">
        <v>148</v>
      </c>
      <c r="F360" s="28">
        <v>469.25</v>
      </c>
      <c r="G360" s="28">
        <v>0</v>
      </c>
      <c r="H360" s="28">
        <f>F360*AO360</f>
        <v>0</v>
      </c>
      <c r="I360" s="28">
        <f>F360*AP360</f>
        <v>0</v>
      </c>
      <c r="J360" s="28">
        <f>F360*G360</f>
        <v>0</v>
      </c>
      <c r="K360" s="29" t="s">
        <v>61</v>
      </c>
      <c r="Z360" s="28">
        <f>IF(AQ360="5",BJ360,0)</f>
        <v>0</v>
      </c>
      <c r="AB360" s="28">
        <f>IF(AQ360="1",BH360,0)</f>
        <v>0</v>
      </c>
      <c r="AC360" s="28">
        <f>IF(AQ360="1",BI360,0)</f>
        <v>0</v>
      </c>
      <c r="AD360" s="28">
        <f>IF(AQ360="7",BH360,0)</f>
        <v>0</v>
      </c>
      <c r="AE360" s="28">
        <f>IF(AQ360="7",BI360,0)</f>
        <v>0</v>
      </c>
      <c r="AF360" s="28">
        <f>IF(AQ360="2",BH360,0)</f>
        <v>0</v>
      </c>
      <c r="AG360" s="28">
        <f>IF(AQ360="2",BI360,0)</f>
        <v>0</v>
      </c>
      <c r="AH360" s="28">
        <f>IF(AQ360="0",BJ360,0)</f>
        <v>0</v>
      </c>
      <c r="AI360" s="10" t="s">
        <v>236</v>
      </c>
      <c r="AJ360" s="28">
        <f>IF(AN360=0,J360,0)</f>
        <v>0</v>
      </c>
      <c r="AK360" s="28">
        <f>IF(AN360=12,J360,0)</f>
        <v>0</v>
      </c>
      <c r="AL360" s="28">
        <f>IF(AN360=21,J360,0)</f>
        <v>0</v>
      </c>
      <c r="AN360" s="28">
        <v>21</v>
      </c>
      <c r="AO360" s="28">
        <f>G360*0</f>
        <v>0</v>
      </c>
      <c r="AP360" s="28">
        <f>G360*(1-0)</f>
        <v>0</v>
      </c>
      <c r="AQ360" s="30" t="s">
        <v>57</v>
      </c>
      <c r="AV360" s="28">
        <f>AW360+AX360</f>
        <v>0</v>
      </c>
      <c r="AW360" s="28">
        <f>F360*AO360</f>
        <v>0</v>
      </c>
      <c r="AX360" s="28">
        <f>F360*AP360</f>
        <v>0</v>
      </c>
      <c r="AY360" s="30" t="s">
        <v>702</v>
      </c>
      <c r="AZ360" s="30" t="s">
        <v>703</v>
      </c>
      <c r="BA360" s="10" t="s">
        <v>242</v>
      </c>
      <c r="BC360" s="28">
        <f>AW360+AX360</f>
        <v>0</v>
      </c>
      <c r="BD360" s="28">
        <f>G360/(100-BE360)*100</f>
        <v>0</v>
      </c>
      <c r="BE360" s="28">
        <v>0</v>
      </c>
      <c r="BF360" s="28">
        <f>360</f>
        <v>360</v>
      </c>
      <c r="BH360" s="28">
        <f>F360*AO360</f>
        <v>0</v>
      </c>
      <c r="BI360" s="28">
        <f>F360*AP360</f>
        <v>0</v>
      </c>
      <c r="BJ360" s="28">
        <f>F360*G360</f>
        <v>0</v>
      </c>
      <c r="BK360" s="28"/>
      <c r="BL360" s="28">
        <v>56</v>
      </c>
      <c r="BW360" s="28">
        <v>21</v>
      </c>
    </row>
    <row r="361" spans="1:75" x14ac:dyDescent="0.25">
      <c r="A361" s="31"/>
      <c r="C361" s="32" t="s">
        <v>336</v>
      </c>
      <c r="D361" s="32" t="s">
        <v>356</v>
      </c>
      <c r="F361" s="33">
        <v>466</v>
      </c>
      <c r="K361" s="34"/>
    </row>
    <row r="362" spans="1:75" x14ac:dyDescent="0.25">
      <c r="A362" s="31"/>
      <c r="C362" s="32" t="s">
        <v>337</v>
      </c>
      <c r="D362" s="32" t="s">
        <v>52</v>
      </c>
      <c r="F362" s="33">
        <v>3.25</v>
      </c>
      <c r="K362" s="34"/>
    </row>
    <row r="363" spans="1:75" ht="13.5" customHeight="1" x14ac:dyDescent="0.25">
      <c r="A363" s="2" t="s">
        <v>704</v>
      </c>
      <c r="B363" s="3" t="s">
        <v>705</v>
      </c>
      <c r="C363" s="83" t="s">
        <v>706</v>
      </c>
      <c r="D363" s="80"/>
      <c r="E363" s="3" t="s">
        <v>148</v>
      </c>
      <c r="F363" s="28">
        <v>492.702</v>
      </c>
      <c r="G363" s="28">
        <v>0</v>
      </c>
      <c r="H363" s="28">
        <f>F363*AO363</f>
        <v>0</v>
      </c>
      <c r="I363" s="28">
        <f>F363*AP363</f>
        <v>0</v>
      </c>
      <c r="J363" s="28">
        <f>F363*G363</f>
        <v>0</v>
      </c>
      <c r="K363" s="29" t="s">
        <v>61</v>
      </c>
      <c r="Z363" s="28">
        <f>IF(AQ363="5",BJ363,0)</f>
        <v>0</v>
      </c>
      <c r="AB363" s="28">
        <f>IF(AQ363="1",BH363,0)</f>
        <v>0</v>
      </c>
      <c r="AC363" s="28">
        <f>IF(AQ363="1",BI363,0)</f>
        <v>0</v>
      </c>
      <c r="AD363" s="28">
        <f>IF(AQ363="7",BH363,0)</f>
        <v>0</v>
      </c>
      <c r="AE363" s="28">
        <f>IF(AQ363="7",BI363,0)</f>
        <v>0</v>
      </c>
      <c r="AF363" s="28">
        <f>IF(AQ363="2",BH363,0)</f>
        <v>0</v>
      </c>
      <c r="AG363" s="28">
        <f>IF(AQ363="2",BI363,0)</f>
        <v>0</v>
      </c>
      <c r="AH363" s="28">
        <f>IF(AQ363="0",BJ363,0)</f>
        <v>0</v>
      </c>
      <c r="AI363" s="10" t="s">
        <v>236</v>
      </c>
      <c r="AJ363" s="28">
        <f>IF(AN363=0,J363,0)</f>
        <v>0</v>
      </c>
      <c r="AK363" s="28">
        <f>IF(AN363=12,J363,0)</f>
        <v>0</v>
      </c>
      <c r="AL363" s="28">
        <f>IF(AN363=21,J363,0)</f>
        <v>0</v>
      </c>
      <c r="AN363" s="28">
        <v>21</v>
      </c>
      <c r="AO363" s="28">
        <f>G363*1</f>
        <v>0</v>
      </c>
      <c r="AP363" s="28">
        <f>G363*(1-1)</f>
        <v>0</v>
      </c>
      <c r="AQ363" s="30" t="s">
        <v>57</v>
      </c>
      <c r="AV363" s="28">
        <f>AW363+AX363</f>
        <v>0</v>
      </c>
      <c r="AW363" s="28">
        <f>F363*AO363</f>
        <v>0</v>
      </c>
      <c r="AX363" s="28">
        <f>F363*AP363</f>
        <v>0</v>
      </c>
      <c r="AY363" s="30" t="s">
        <v>702</v>
      </c>
      <c r="AZ363" s="30" t="s">
        <v>703</v>
      </c>
      <c r="BA363" s="10" t="s">
        <v>242</v>
      </c>
      <c r="BC363" s="28">
        <f>AW363+AX363</f>
        <v>0</v>
      </c>
      <c r="BD363" s="28">
        <f>G363/(100-BE363)*100</f>
        <v>0</v>
      </c>
      <c r="BE363" s="28">
        <v>0</v>
      </c>
      <c r="BF363" s="28">
        <f>363</f>
        <v>363</v>
      </c>
      <c r="BH363" s="28">
        <f>F363*AO363</f>
        <v>0</v>
      </c>
      <c r="BI363" s="28">
        <f>F363*AP363</f>
        <v>0</v>
      </c>
      <c r="BJ363" s="28">
        <f>F363*G363</f>
        <v>0</v>
      </c>
      <c r="BK363" s="28"/>
      <c r="BL363" s="28">
        <v>56</v>
      </c>
      <c r="BW363" s="28">
        <v>21</v>
      </c>
    </row>
    <row r="364" spans="1:75" x14ac:dyDescent="0.25">
      <c r="A364" s="31"/>
      <c r="C364" s="32" t="s">
        <v>707</v>
      </c>
      <c r="D364" s="32" t="s">
        <v>52</v>
      </c>
      <c r="F364" s="33">
        <v>469.24</v>
      </c>
      <c r="K364" s="34"/>
    </row>
    <row r="365" spans="1:75" x14ac:dyDescent="0.25">
      <c r="A365" s="31"/>
      <c r="C365" s="32" t="s">
        <v>708</v>
      </c>
      <c r="D365" s="32" t="s">
        <v>52</v>
      </c>
      <c r="F365" s="33">
        <v>23.462</v>
      </c>
      <c r="K365" s="34"/>
    </row>
    <row r="366" spans="1:75" x14ac:dyDescent="0.25">
      <c r="A366" s="24" t="s">
        <v>52</v>
      </c>
      <c r="B366" s="25" t="s">
        <v>465</v>
      </c>
      <c r="C366" s="139" t="s">
        <v>709</v>
      </c>
      <c r="D366" s="140"/>
      <c r="E366" s="26" t="s">
        <v>4</v>
      </c>
      <c r="F366" s="26" t="s">
        <v>4</v>
      </c>
      <c r="G366" s="26" t="s">
        <v>4</v>
      </c>
      <c r="H366" s="1">
        <f>SUM(H367:H387)</f>
        <v>0</v>
      </c>
      <c r="I366" s="1">
        <f>SUM(I367:I387)</f>
        <v>0</v>
      </c>
      <c r="J366" s="1">
        <f>SUM(J367:J387)</f>
        <v>0</v>
      </c>
      <c r="K366" s="27" t="s">
        <v>52</v>
      </c>
      <c r="AI366" s="10" t="s">
        <v>236</v>
      </c>
      <c r="AS366" s="1">
        <f>SUM(AJ367:AJ387)</f>
        <v>0</v>
      </c>
      <c r="AT366" s="1">
        <f>SUM(AK367:AK387)</f>
        <v>0</v>
      </c>
      <c r="AU366" s="1">
        <f>SUM(AL367:AL387)</f>
        <v>0</v>
      </c>
    </row>
    <row r="367" spans="1:75" ht="13.5" customHeight="1" x14ac:dyDescent="0.25">
      <c r="A367" s="2" t="s">
        <v>710</v>
      </c>
      <c r="B367" s="3" t="s">
        <v>711</v>
      </c>
      <c r="C367" s="83" t="s">
        <v>712</v>
      </c>
      <c r="D367" s="80"/>
      <c r="E367" s="3" t="s">
        <v>148</v>
      </c>
      <c r="F367" s="28">
        <v>82.125</v>
      </c>
      <c r="G367" s="28">
        <v>0</v>
      </c>
      <c r="H367" s="28">
        <f>F367*AO367</f>
        <v>0</v>
      </c>
      <c r="I367" s="28">
        <f>F367*AP367</f>
        <v>0</v>
      </c>
      <c r="J367" s="28">
        <f>F367*G367</f>
        <v>0</v>
      </c>
      <c r="K367" s="29" t="s">
        <v>61</v>
      </c>
      <c r="Z367" s="28">
        <f>IF(AQ367="5",BJ367,0)</f>
        <v>0</v>
      </c>
      <c r="AB367" s="28">
        <f>IF(AQ367="1",BH367,0)</f>
        <v>0</v>
      </c>
      <c r="AC367" s="28">
        <f>IF(AQ367="1",BI367,0)</f>
        <v>0</v>
      </c>
      <c r="AD367" s="28">
        <f>IF(AQ367="7",BH367,0)</f>
        <v>0</v>
      </c>
      <c r="AE367" s="28">
        <f>IF(AQ367="7",BI367,0)</f>
        <v>0</v>
      </c>
      <c r="AF367" s="28">
        <f>IF(AQ367="2",BH367,0)</f>
        <v>0</v>
      </c>
      <c r="AG367" s="28">
        <f>IF(AQ367="2",BI367,0)</f>
        <v>0</v>
      </c>
      <c r="AH367" s="28">
        <f>IF(AQ367="0",BJ367,0)</f>
        <v>0</v>
      </c>
      <c r="AI367" s="10" t="s">
        <v>236</v>
      </c>
      <c r="AJ367" s="28">
        <f>IF(AN367=0,J367,0)</f>
        <v>0</v>
      </c>
      <c r="AK367" s="28">
        <f>IF(AN367=12,J367,0)</f>
        <v>0</v>
      </c>
      <c r="AL367" s="28">
        <f>IF(AN367=21,J367,0)</f>
        <v>0</v>
      </c>
      <c r="AN367" s="28">
        <v>21</v>
      </c>
      <c r="AO367" s="28">
        <f>G367*0.51668663</f>
        <v>0</v>
      </c>
      <c r="AP367" s="28">
        <f>G367*(1-0.51668663)</f>
        <v>0</v>
      </c>
      <c r="AQ367" s="30" t="s">
        <v>57</v>
      </c>
      <c r="AV367" s="28">
        <f>AW367+AX367</f>
        <v>0</v>
      </c>
      <c r="AW367" s="28">
        <f>F367*AO367</f>
        <v>0</v>
      </c>
      <c r="AX367" s="28">
        <f>F367*AP367</f>
        <v>0</v>
      </c>
      <c r="AY367" s="30" t="s">
        <v>713</v>
      </c>
      <c r="AZ367" s="30" t="s">
        <v>315</v>
      </c>
      <c r="BA367" s="10" t="s">
        <v>242</v>
      </c>
      <c r="BC367" s="28">
        <f>AW367+AX367</f>
        <v>0</v>
      </c>
      <c r="BD367" s="28">
        <f>G367/(100-BE367)*100</f>
        <v>0</v>
      </c>
      <c r="BE367" s="28">
        <v>0</v>
      </c>
      <c r="BF367" s="28">
        <f>367</f>
        <v>367</v>
      </c>
      <c r="BH367" s="28">
        <f>F367*AO367</f>
        <v>0</v>
      </c>
      <c r="BI367" s="28">
        <f>F367*AP367</f>
        <v>0</v>
      </c>
      <c r="BJ367" s="28">
        <f>F367*G367</f>
        <v>0</v>
      </c>
      <c r="BK367" s="28"/>
      <c r="BL367" s="28">
        <v>60</v>
      </c>
      <c r="BW367" s="28">
        <v>21</v>
      </c>
    </row>
    <row r="368" spans="1:75" x14ac:dyDescent="0.25">
      <c r="A368" s="31"/>
      <c r="C368" s="32" t="s">
        <v>714</v>
      </c>
      <c r="D368" s="32" t="s">
        <v>593</v>
      </c>
      <c r="F368" s="33">
        <v>44.55</v>
      </c>
      <c r="K368" s="34"/>
    </row>
    <row r="369" spans="1:75" x14ac:dyDescent="0.25">
      <c r="A369" s="31"/>
      <c r="C369" s="32" t="s">
        <v>715</v>
      </c>
      <c r="D369" s="32" t="s">
        <v>716</v>
      </c>
      <c r="F369" s="33">
        <v>2.75</v>
      </c>
      <c r="K369" s="34"/>
    </row>
    <row r="370" spans="1:75" x14ac:dyDescent="0.25">
      <c r="A370" s="31"/>
      <c r="C370" s="32" t="s">
        <v>717</v>
      </c>
      <c r="D370" s="32" t="s">
        <v>52</v>
      </c>
      <c r="F370" s="33">
        <v>2.25</v>
      </c>
      <c r="K370" s="34"/>
    </row>
    <row r="371" spans="1:75" x14ac:dyDescent="0.25">
      <c r="A371" s="31"/>
      <c r="C371" s="32" t="s">
        <v>718</v>
      </c>
      <c r="D371" s="32" t="s">
        <v>719</v>
      </c>
      <c r="F371" s="33">
        <v>10.75</v>
      </c>
      <c r="K371" s="34"/>
    </row>
    <row r="372" spans="1:75" x14ac:dyDescent="0.25">
      <c r="A372" s="31"/>
      <c r="C372" s="32" t="s">
        <v>553</v>
      </c>
      <c r="D372" s="32" t="s">
        <v>52</v>
      </c>
      <c r="F372" s="33">
        <v>4.5250000000000004</v>
      </c>
      <c r="K372" s="34"/>
    </row>
    <row r="373" spans="1:75" x14ac:dyDescent="0.25">
      <c r="A373" s="31"/>
      <c r="C373" s="32" t="s">
        <v>720</v>
      </c>
      <c r="D373" s="32" t="s">
        <v>52</v>
      </c>
      <c r="F373" s="33">
        <v>7.15</v>
      </c>
      <c r="K373" s="34"/>
    </row>
    <row r="374" spans="1:75" x14ac:dyDescent="0.25">
      <c r="A374" s="31"/>
      <c r="C374" s="32" t="s">
        <v>720</v>
      </c>
      <c r="D374" s="32" t="s">
        <v>52</v>
      </c>
      <c r="F374" s="33">
        <v>7.15</v>
      </c>
      <c r="K374" s="34"/>
    </row>
    <row r="375" spans="1:75" x14ac:dyDescent="0.25">
      <c r="A375" s="31"/>
      <c r="C375" s="32" t="s">
        <v>721</v>
      </c>
      <c r="D375" s="32" t="s">
        <v>52</v>
      </c>
      <c r="F375" s="33">
        <v>1</v>
      </c>
      <c r="K375" s="34"/>
    </row>
    <row r="376" spans="1:75" x14ac:dyDescent="0.25">
      <c r="A376" s="31"/>
      <c r="C376" s="32" t="s">
        <v>722</v>
      </c>
      <c r="D376" s="32" t="s">
        <v>52</v>
      </c>
      <c r="F376" s="33">
        <v>2</v>
      </c>
      <c r="K376" s="34"/>
    </row>
    <row r="377" spans="1:75" ht="13.5" customHeight="1" x14ac:dyDescent="0.25">
      <c r="A377" s="2" t="s">
        <v>723</v>
      </c>
      <c r="B377" s="3" t="s">
        <v>724</v>
      </c>
      <c r="C377" s="83" t="s">
        <v>725</v>
      </c>
      <c r="D377" s="80"/>
      <c r="E377" s="3" t="s">
        <v>148</v>
      </c>
      <c r="F377" s="28">
        <v>82.125</v>
      </c>
      <c r="G377" s="28">
        <v>0</v>
      </c>
      <c r="H377" s="28">
        <f>F377*AO377</f>
        <v>0</v>
      </c>
      <c r="I377" s="28">
        <f>F377*AP377</f>
        <v>0</v>
      </c>
      <c r="J377" s="28">
        <f>F377*G377</f>
        <v>0</v>
      </c>
      <c r="K377" s="29" t="s">
        <v>61</v>
      </c>
      <c r="Z377" s="28">
        <f>IF(AQ377="5",BJ377,0)</f>
        <v>0</v>
      </c>
      <c r="AB377" s="28">
        <f>IF(AQ377="1",BH377,0)</f>
        <v>0</v>
      </c>
      <c r="AC377" s="28">
        <f>IF(AQ377="1",BI377,0)</f>
        <v>0</v>
      </c>
      <c r="AD377" s="28">
        <f>IF(AQ377="7",BH377,0)</f>
        <v>0</v>
      </c>
      <c r="AE377" s="28">
        <f>IF(AQ377="7",BI377,0)</f>
        <v>0</v>
      </c>
      <c r="AF377" s="28">
        <f>IF(AQ377="2",BH377,0)</f>
        <v>0</v>
      </c>
      <c r="AG377" s="28">
        <f>IF(AQ377="2",BI377,0)</f>
        <v>0</v>
      </c>
      <c r="AH377" s="28">
        <f>IF(AQ377="0",BJ377,0)</f>
        <v>0</v>
      </c>
      <c r="AI377" s="10" t="s">
        <v>236</v>
      </c>
      <c r="AJ377" s="28">
        <f>IF(AN377=0,J377,0)</f>
        <v>0</v>
      </c>
      <c r="AK377" s="28">
        <f>IF(AN377=12,J377,0)</f>
        <v>0</v>
      </c>
      <c r="AL377" s="28">
        <f>IF(AN377=21,J377,0)</f>
        <v>0</v>
      </c>
      <c r="AN377" s="28">
        <v>21</v>
      </c>
      <c r="AO377" s="28">
        <f>G377*0.462476414</f>
        <v>0</v>
      </c>
      <c r="AP377" s="28">
        <f>G377*(1-0.462476414)</f>
        <v>0</v>
      </c>
      <c r="AQ377" s="30" t="s">
        <v>57</v>
      </c>
      <c r="AV377" s="28">
        <f>AW377+AX377</f>
        <v>0</v>
      </c>
      <c r="AW377" s="28">
        <f>F377*AO377</f>
        <v>0</v>
      </c>
      <c r="AX377" s="28">
        <f>F377*AP377</f>
        <v>0</v>
      </c>
      <c r="AY377" s="30" t="s">
        <v>713</v>
      </c>
      <c r="AZ377" s="30" t="s">
        <v>315</v>
      </c>
      <c r="BA377" s="10" t="s">
        <v>242</v>
      </c>
      <c r="BC377" s="28">
        <f>AW377+AX377</f>
        <v>0</v>
      </c>
      <c r="BD377" s="28">
        <f>G377/(100-BE377)*100</f>
        <v>0</v>
      </c>
      <c r="BE377" s="28">
        <v>0</v>
      </c>
      <c r="BF377" s="28">
        <f>377</f>
        <v>377</v>
      </c>
      <c r="BH377" s="28">
        <f>F377*AO377</f>
        <v>0</v>
      </c>
      <c r="BI377" s="28">
        <f>F377*AP377</f>
        <v>0</v>
      </c>
      <c r="BJ377" s="28">
        <f>F377*G377</f>
        <v>0</v>
      </c>
      <c r="BK377" s="28"/>
      <c r="BL377" s="28">
        <v>60</v>
      </c>
      <c r="BW377" s="28">
        <v>21</v>
      </c>
    </row>
    <row r="378" spans="1:75" x14ac:dyDescent="0.25">
      <c r="A378" s="31"/>
      <c r="C378" s="32" t="s">
        <v>714</v>
      </c>
      <c r="D378" s="32" t="s">
        <v>593</v>
      </c>
      <c r="F378" s="33">
        <v>44.55</v>
      </c>
      <c r="K378" s="34"/>
    </row>
    <row r="379" spans="1:75" x14ac:dyDescent="0.25">
      <c r="A379" s="31"/>
      <c r="C379" s="32" t="s">
        <v>715</v>
      </c>
      <c r="D379" s="32" t="s">
        <v>716</v>
      </c>
      <c r="F379" s="33">
        <v>2.75</v>
      </c>
      <c r="K379" s="34"/>
    </row>
    <row r="380" spans="1:75" x14ac:dyDescent="0.25">
      <c r="A380" s="31"/>
      <c r="C380" s="32" t="s">
        <v>717</v>
      </c>
      <c r="D380" s="32" t="s">
        <v>52</v>
      </c>
      <c r="F380" s="33">
        <v>2.25</v>
      </c>
      <c r="K380" s="34"/>
    </row>
    <row r="381" spans="1:75" x14ac:dyDescent="0.25">
      <c r="A381" s="31"/>
      <c r="C381" s="32" t="s">
        <v>718</v>
      </c>
      <c r="D381" s="32" t="s">
        <v>719</v>
      </c>
      <c r="F381" s="33">
        <v>10.75</v>
      </c>
      <c r="K381" s="34"/>
    </row>
    <row r="382" spans="1:75" x14ac:dyDescent="0.25">
      <c r="A382" s="31"/>
      <c r="C382" s="32" t="s">
        <v>553</v>
      </c>
      <c r="D382" s="32" t="s">
        <v>52</v>
      </c>
      <c r="F382" s="33">
        <v>4.5250000000000004</v>
      </c>
      <c r="K382" s="34"/>
    </row>
    <row r="383" spans="1:75" x14ac:dyDescent="0.25">
      <c r="A383" s="31"/>
      <c r="C383" s="32" t="s">
        <v>720</v>
      </c>
      <c r="D383" s="32" t="s">
        <v>52</v>
      </c>
      <c r="F383" s="33">
        <v>7.15</v>
      </c>
      <c r="K383" s="34"/>
    </row>
    <row r="384" spans="1:75" x14ac:dyDescent="0.25">
      <c r="A384" s="31"/>
      <c r="C384" s="32" t="s">
        <v>720</v>
      </c>
      <c r="D384" s="32" t="s">
        <v>52</v>
      </c>
      <c r="F384" s="33">
        <v>7.15</v>
      </c>
      <c r="K384" s="34"/>
    </row>
    <row r="385" spans="1:75" x14ac:dyDescent="0.25">
      <c r="A385" s="31"/>
      <c r="C385" s="32" t="s">
        <v>721</v>
      </c>
      <c r="D385" s="32" t="s">
        <v>52</v>
      </c>
      <c r="F385" s="33">
        <v>1</v>
      </c>
      <c r="K385" s="34"/>
    </row>
    <row r="386" spans="1:75" x14ac:dyDescent="0.25">
      <c r="A386" s="31"/>
      <c r="C386" s="32" t="s">
        <v>722</v>
      </c>
      <c r="D386" s="32" t="s">
        <v>52</v>
      </c>
      <c r="F386" s="33">
        <v>2</v>
      </c>
      <c r="K386" s="34"/>
    </row>
    <row r="387" spans="1:75" ht="13.5" customHeight="1" x14ac:dyDescent="0.25">
      <c r="A387" s="2" t="s">
        <v>726</v>
      </c>
      <c r="B387" s="3" t="s">
        <v>727</v>
      </c>
      <c r="C387" s="83" t="s">
        <v>728</v>
      </c>
      <c r="D387" s="80"/>
      <c r="E387" s="3" t="s">
        <v>148</v>
      </c>
      <c r="F387" s="28">
        <v>224.65</v>
      </c>
      <c r="G387" s="28">
        <v>0</v>
      </c>
      <c r="H387" s="28">
        <f>F387*AO387</f>
        <v>0</v>
      </c>
      <c r="I387" s="28">
        <f>F387*AP387</f>
        <v>0</v>
      </c>
      <c r="J387" s="28">
        <f>F387*G387</f>
        <v>0</v>
      </c>
      <c r="K387" s="29" t="s">
        <v>61</v>
      </c>
      <c r="Z387" s="28">
        <f>IF(AQ387="5",BJ387,0)</f>
        <v>0</v>
      </c>
      <c r="AB387" s="28">
        <f>IF(AQ387="1",BH387,0)</f>
        <v>0</v>
      </c>
      <c r="AC387" s="28">
        <f>IF(AQ387="1",BI387,0)</f>
        <v>0</v>
      </c>
      <c r="AD387" s="28">
        <f>IF(AQ387="7",BH387,0)</f>
        <v>0</v>
      </c>
      <c r="AE387" s="28">
        <f>IF(AQ387="7",BI387,0)</f>
        <v>0</v>
      </c>
      <c r="AF387" s="28">
        <f>IF(AQ387="2",BH387,0)</f>
        <v>0</v>
      </c>
      <c r="AG387" s="28">
        <f>IF(AQ387="2",BI387,0)</f>
        <v>0</v>
      </c>
      <c r="AH387" s="28">
        <f>IF(AQ387="0",BJ387,0)</f>
        <v>0</v>
      </c>
      <c r="AI387" s="10" t="s">
        <v>236</v>
      </c>
      <c r="AJ387" s="28">
        <f>IF(AN387=0,J387,0)</f>
        <v>0</v>
      </c>
      <c r="AK387" s="28">
        <f>IF(AN387=12,J387,0)</f>
        <v>0</v>
      </c>
      <c r="AL387" s="28">
        <f>IF(AN387=21,J387,0)</f>
        <v>0</v>
      </c>
      <c r="AN387" s="28">
        <v>21</v>
      </c>
      <c r="AO387" s="28">
        <f>G387*0.468624642</f>
        <v>0</v>
      </c>
      <c r="AP387" s="28">
        <f>G387*(1-0.468624642)</f>
        <v>0</v>
      </c>
      <c r="AQ387" s="30" t="s">
        <v>57</v>
      </c>
      <c r="AV387" s="28">
        <f>AW387+AX387</f>
        <v>0</v>
      </c>
      <c r="AW387" s="28">
        <f>F387*AO387</f>
        <v>0</v>
      </c>
      <c r="AX387" s="28">
        <f>F387*AP387</f>
        <v>0</v>
      </c>
      <c r="AY387" s="30" t="s">
        <v>713</v>
      </c>
      <c r="AZ387" s="30" t="s">
        <v>315</v>
      </c>
      <c r="BA387" s="10" t="s">
        <v>242</v>
      </c>
      <c r="BC387" s="28">
        <f>AW387+AX387</f>
        <v>0</v>
      </c>
      <c r="BD387" s="28">
        <f>G387/(100-BE387)*100</f>
        <v>0</v>
      </c>
      <c r="BE387" s="28">
        <v>0</v>
      </c>
      <c r="BF387" s="28">
        <f>387</f>
        <v>387</v>
      </c>
      <c r="BH387" s="28">
        <f>F387*AO387</f>
        <v>0</v>
      </c>
      <c r="BI387" s="28">
        <f>F387*AP387</f>
        <v>0</v>
      </c>
      <c r="BJ387" s="28">
        <f>F387*G387</f>
        <v>0</v>
      </c>
      <c r="BK387" s="28"/>
      <c r="BL387" s="28">
        <v>60</v>
      </c>
      <c r="BW387" s="28">
        <v>21</v>
      </c>
    </row>
    <row r="388" spans="1:75" x14ac:dyDescent="0.25">
      <c r="A388" s="31"/>
      <c r="C388" s="32" t="s">
        <v>574</v>
      </c>
      <c r="D388" s="32" t="s">
        <v>729</v>
      </c>
      <c r="F388" s="33">
        <v>2.5</v>
      </c>
      <c r="K388" s="34"/>
    </row>
    <row r="389" spans="1:75" x14ac:dyDescent="0.25">
      <c r="A389" s="31"/>
      <c r="C389" s="32" t="s">
        <v>576</v>
      </c>
      <c r="D389" s="32" t="s">
        <v>730</v>
      </c>
      <c r="F389" s="33">
        <v>1.2</v>
      </c>
      <c r="K389" s="34"/>
    </row>
    <row r="390" spans="1:75" x14ac:dyDescent="0.25">
      <c r="A390" s="31"/>
      <c r="C390" s="32" t="s">
        <v>731</v>
      </c>
      <c r="D390" s="32" t="s">
        <v>732</v>
      </c>
      <c r="F390" s="33">
        <v>46.69</v>
      </c>
      <c r="K390" s="34"/>
    </row>
    <row r="391" spans="1:75" x14ac:dyDescent="0.25">
      <c r="A391" s="31"/>
      <c r="C391" s="32" t="s">
        <v>316</v>
      </c>
      <c r="D391" s="32" t="s">
        <v>317</v>
      </c>
      <c r="F391" s="33">
        <v>174.26</v>
      </c>
      <c r="K391" s="34"/>
    </row>
    <row r="392" spans="1:75" x14ac:dyDescent="0.25">
      <c r="A392" s="24" t="s">
        <v>52</v>
      </c>
      <c r="B392" s="25" t="s">
        <v>471</v>
      </c>
      <c r="C392" s="139" t="s">
        <v>733</v>
      </c>
      <c r="D392" s="140"/>
      <c r="E392" s="26" t="s">
        <v>4</v>
      </c>
      <c r="F392" s="26" t="s">
        <v>4</v>
      </c>
      <c r="G392" s="26" t="s">
        <v>4</v>
      </c>
      <c r="H392" s="1">
        <f>SUM(H393:H400)</f>
        <v>0</v>
      </c>
      <c r="I392" s="1">
        <f>SUM(I393:I400)</f>
        <v>0</v>
      </c>
      <c r="J392" s="1">
        <f>SUM(J393:J400)</f>
        <v>0</v>
      </c>
      <c r="K392" s="27" t="s">
        <v>52</v>
      </c>
      <c r="AI392" s="10" t="s">
        <v>236</v>
      </c>
      <c r="AS392" s="1">
        <f>SUM(AJ393:AJ400)</f>
        <v>0</v>
      </c>
      <c r="AT392" s="1">
        <f>SUM(AK393:AK400)</f>
        <v>0</v>
      </c>
      <c r="AU392" s="1">
        <f>SUM(AL393:AL400)</f>
        <v>0</v>
      </c>
    </row>
    <row r="393" spans="1:75" ht="13.5" customHeight="1" x14ac:dyDescent="0.25">
      <c r="A393" s="2" t="s">
        <v>734</v>
      </c>
      <c r="B393" s="3" t="s">
        <v>735</v>
      </c>
      <c r="C393" s="83" t="s">
        <v>736</v>
      </c>
      <c r="D393" s="80"/>
      <c r="E393" s="3" t="s">
        <v>148</v>
      </c>
      <c r="F393" s="28">
        <v>65.87</v>
      </c>
      <c r="G393" s="28">
        <v>0</v>
      </c>
      <c r="H393" s="28">
        <f>F393*AO393</f>
        <v>0</v>
      </c>
      <c r="I393" s="28">
        <f>F393*AP393</f>
        <v>0</v>
      </c>
      <c r="J393" s="28">
        <f>F393*G393</f>
        <v>0</v>
      </c>
      <c r="K393" s="29" t="s">
        <v>61</v>
      </c>
      <c r="Z393" s="28">
        <f>IF(AQ393="5",BJ393,0)</f>
        <v>0</v>
      </c>
      <c r="AB393" s="28">
        <f>IF(AQ393="1",BH393,0)</f>
        <v>0</v>
      </c>
      <c r="AC393" s="28">
        <f>IF(AQ393="1",BI393,0)</f>
        <v>0</v>
      </c>
      <c r="AD393" s="28">
        <f>IF(AQ393="7",BH393,0)</f>
        <v>0</v>
      </c>
      <c r="AE393" s="28">
        <f>IF(AQ393="7",BI393,0)</f>
        <v>0</v>
      </c>
      <c r="AF393" s="28">
        <f>IF(AQ393="2",BH393,0)</f>
        <v>0</v>
      </c>
      <c r="AG393" s="28">
        <f>IF(AQ393="2",BI393,0)</f>
        <v>0</v>
      </c>
      <c r="AH393" s="28">
        <f>IF(AQ393="0",BJ393,0)</f>
        <v>0</v>
      </c>
      <c r="AI393" s="10" t="s">
        <v>236</v>
      </c>
      <c r="AJ393" s="28">
        <f>IF(AN393=0,J393,0)</f>
        <v>0</v>
      </c>
      <c r="AK393" s="28">
        <f>IF(AN393=12,J393,0)</f>
        <v>0</v>
      </c>
      <c r="AL393" s="28">
        <f>IF(AN393=21,J393,0)</f>
        <v>0</v>
      </c>
      <c r="AN393" s="28">
        <v>21</v>
      </c>
      <c r="AO393" s="28">
        <f>G393*0.297330036</f>
        <v>0</v>
      </c>
      <c r="AP393" s="28">
        <f>G393*(1-0.297330036)</f>
        <v>0</v>
      </c>
      <c r="AQ393" s="30" t="s">
        <v>57</v>
      </c>
      <c r="AV393" s="28">
        <f>AW393+AX393</f>
        <v>0</v>
      </c>
      <c r="AW393" s="28">
        <f>F393*AO393</f>
        <v>0</v>
      </c>
      <c r="AX393" s="28">
        <f>F393*AP393</f>
        <v>0</v>
      </c>
      <c r="AY393" s="30" t="s">
        <v>737</v>
      </c>
      <c r="AZ393" s="30" t="s">
        <v>315</v>
      </c>
      <c r="BA393" s="10" t="s">
        <v>242</v>
      </c>
      <c r="BC393" s="28">
        <f>AW393+AX393</f>
        <v>0</v>
      </c>
      <c r="BD393" s="28">
        <f>G393/(100-BE393)*100</f>
        <v>0</v>
      </c>
      <c r="BE393" s="28">
        <v>0</v>
      </c>
      <c r="BF393" s="28">
        <f>393</f>
        <v>393</v>
      </c>
      <c r="BH393" s="28">
        <f>F393*AO393</f>
        <v>0</v>
      </c>
      <c r="BI393" s="28">
        <f>F393*AP393</f>
        <v>0</v>
      </c>
      <c r="BJ393" s="28">
        <f>F393*G393</f>
        <v>0</v>
      </c>
      <c r="BK393" s="28"/>
      <c r="BL393" s="28">
        <v>62</v>
      </c>
      <c r="BW393" s="28">
        <v>21</v>
      </c>
    </row>
    <row r="394" spans="1:75" x14ac:dyDescent="0.25">
      <c r="A394" s="31"/>
      <c r="C394" s="32" t="s">
        <v>738</v>
      </c>
      <c r="D394" s="32" t="s">
        <v>739</v>
      </c>
      <c r="F394" s="33">
        <v>55.55</v>
      </c>
      <c r="K394" s="34"/>
    </row>
    <row r="395" spans="1:75" x14ac:dyDescent="0.25">
      <c r="A395" s="31"/>
      <c r="C395" s="32" t="s">
        <v>93</v>
      </c>
      <c r="D395" s="32" t="s">
        <v>740</v>
      </c>
      <c r="F395" s="33">
        <v>6</v>
      </c>
      <c r="K395" s="34"/>
    </row>
    <row r="396" spans="1:75" x14ac:dyDescent="0.25">
      <c r="A396" s="31"/>
      <c r="C396" s="32" t="s">
        <v>741</v>
      </c>
      <c r="D396" s="32" t="s">
        <v>742</v>
      </c>
      <c r="F396" s="33">
        <v>1.2</v>
      </c>
      <c r="K396" s="34"/>
    </row>
    <row r="397" spans="1:75" x14ac:dyDescent="0.25">
      <c r="A397" s="31"/>
      <c r="C397" s="32" t="s">
        <v>743</v>
      </c>
      <c r="D397" s="32" t="s">
        <v>744</v>
      </c>
      <c r="F397" s="33">
        <v>3.12</v>
      </c>
      <c r="K397" s="34"/>
    </row>
    <row r="398" spans="1:75" ht="27" customHeight="1" x14ac:dyDescent="0.25">
      <c r="A398" s="2" t="s">
        <v>745</v>
      </c>
      <c r="B398" s="3" t="s">
        <v>746</v>
      </c>
      <c r="C398" s="83" t="s">
        <v>747</v>
      </c>
      <c r="D398" s="80"/>
      <c r="E398" s="3" t="s">
        <v>148</v>
      </c>
      <c r="F398" s="28">
        <v>65.87</v>
      </c>
      <c r="G398" s="28">
        <v>0</v>
      </c>
      <c r="H398" s="28">
        <f>F398*AO398</f>
        <v>0</v>
      </c>
      <c r="I398" s="28">
        <f>F398*AP398</f>
        <v>0</v>
      </c>
      <c r="J398" s="28">
        <f>F398*G398</f>
        <v>0</v>
      </c>
      <c r="K398" s="29" t="s">
        <v>61</v>
      </c>
      <c r="Z398" s="28">
        <f>IF(AQ398="5",BJ398,0)</f>
        <v>0</v>
      </c>
      <c r="AB398" s="28">
        <f>IF(AQ398="1",BH398,0)</f>
        <v>0</v>
      </c>
      <c r="AC398" s="28">
        <f>IF(AQ398="1",BI398,0)</f>
        <v>0</v>
      </c>
      <c r="AD398" s="28">
        <f>IF(AQ398="7",BH398,0)</f>
        <v>0</v>
      </c>
      <c r="AE398" s="28">
        <f>IF(AQ398="7",BI398,0)</f>
        <v>0</v>
      </c>
      <c r="AF398" s="28">
        <f>IF(AQ398="2",BH398,0)</f>
        <v>0</v>
      </c>
      <c r="AG398" s="28">
        <f>IF(AQ398="2",BI398,0)</f>
        <v>0</v>
      </c>
      <c r="AH398" s="28">
        <f>IF(AQ398="0",BJ398,0)</f>
        <v>0</v>
      </c>
      <c r="AI398" s="10" t="s">
        <v>236</v>
      </c>
      <c r="AJ398" s="28">
        <f>IF(AN398=0,J398,0)</f>
        <v>0</v>
      </c>
      <c r="AK398" s="28">
        <f>IF(AN398=12,J398,0)</f>
        <v>0</v>
      </c>
      <c r="AL398" s="28">
        <f>IF(AN398=21,J398,0)</f>
        <v>0</v>
      </c>
      <c r="AN398" s="28">
        <v>21</v>
      </c>
      <c r="AO398" s="28">
        <f>G398*0.595197802</f>
        <v>0</v>
      </c>
      <c r="AP398" s="28">
        <f>G398*(1-0.595197802)</f>
        <v>0</v>
      </c>
      <c r="AQ398" s="30" t="s">
        <v>57</v>
      </c>
      <c r="AV398" s="28">
        <f>AW398+AX398</f>
        <v>0</v>
      </c>
      <c r="AW398" s="28">
        <f>F398*AO398</f>
        <v>0</v>
      </c>
      <c r="AX398" s="28">
        <f>F398*AP398</f>
        <v>0</v>
      </c>
      <c r="AY398" s="30" t="s">
        <v>737</v>
      </c>
      <c r="AZ398" s="30" t="s">
        <v>315</v>
      </c>
      <c r="BA398" s="10" t="s">
        <v>242</v>
      </c>
      <c r="BC398" s="28">
        <f>AW398+AX398</f>
        <v>0</v>
      </c>
      <c r="BD398" s="28">
        <f>G398/(100-BE398)*100</f>
        <v>0</v>
      </c>
      <c r="BE398" s="28">
        <v>0</v>
      </c>
      <c r="BF398" s="28">
        <f>398</f>
        <v>398</v>
      </c>
      <c r="BH398" s="28">
        <f>F398*AO398</f>
        <v>0</v>
      </c>
      <c r="BI398" s="28">
        <f>F398*AP398</f>
        <v>0</v>
      </c>
      <c r="BJ398" s="28">
        <f>F398*G398</f>
        <v>0</v>
      </c>
      <c r="BK398" s="28"/>
      <c r="BL398" s="28">
        <v>62</v>
      </c>
      <c r="BW398" s="28">
        <v>21</v>
      </c>
    </row>
    <row r="399" spans="1:75" x14ac:dyDescent="0.25">
      <c r="A399" s="31"/>
      <c r="C399" s="32" t="s">
        <v>748</v>
      </c>
      <c r="D399" s="32" t="s">
        <v>52</v>
      </c>
      <c r="F399" s="33">
        <v>65.87</v>
      </c>
      <c r="K399" s="34"/>
    </row>
    <row r="400" spans="1:75" ht="27" customHeight="1" x14ac:dyDescent="0.25">
      <c r="A400" s="2" t="s">
        <v>749</v>
      </c>
      <c r="B400" s="3" t="s">
        <v>750</v>
      </c>
      <c r="C400" s="83" t="s">
        <v>751</v>
      </c>
      <c r="D400" s="80"/>
      <c r="E400" s="3" t="s">
        <v>148</v>
      </c>
      <c r="F400" s="28">
        <v>55.55</v>
      </c>
      <c r="G400" s="28">
        <v>0</v>
      </c>
      <c r="H400" s="28">
        <f>F400*AO400</f>
        <v>0</v>
      </c>
      <c r="I400" s="28">
        <f>F400*AP400</f>
        <v>0</v>
      </c>
      <c r="J400" s="28">
        <f>F400*G400</f>
        <v>0</v>
      </c>
      <c r="K400" s="29" t="s">
        <v>61</v>
      </c>
      <c r="Z400" s="28">
        <f>IF(AQ400="5",BJ400,0)</f>
        <v>0</v>
      </c>
      <c r="AB400" s="28">
        <f>IF(AQ400="1",BH400,0)</f>
        <v>0</v>
      </c>
      <c r="AC400" s="28">
        <f>IF(AQ400="1",BI400,0)</f>
        <v>0</v>
      </c>
      <c r="AD400" s="28">
        <f>IF(AQ400="7",BH400,0)</f>
        <v>0</v>
      </c>
      <c r="AE400" s="28">
        <f>IF(AQ400="7",BI400,0)</f>
        <v>0</v>
      </c>
      <c r="AF400" s="28">
        <f>IF(AQ400="2",BH400,0)</f>
        <v>0</v>
      </c>
      <c r="AG400" s="28">
        <f>IF(AQ400="2",BI400,0)</f>
        <v>0</v>
      </c>
      <c r="AH400" s="28">
        <f>IF(AQ400="0",BJ400,0)</f>
        <v>0</v>
      </c>
      <c r="AI400" s="10" t="s">
        <v>236</v>
      </c>
      <c r="AJ400" s="28">
        <f>IF(AN400=0,J400,0)</f>
        <v>0</v>
      </c>
      <c r="AK400" s="28">
        <f>IF(AN400=12,J400,0)</f>
        <v>0</v>
      </c>
      <c r="AL400" s="28">
        <f>IF(AN400=21,J400,0)</f>
        <v>0</v>
      </c>
      <c r="AN400" s="28">
        <v>21</v>
      </c>
      <c r="AO400" s="28">
        <f>G400*0.585738564</f>
        <v>0</v>
      </c>
      <c r="AP400" s="28">
        <f>G400*(1-0.585738564)</f>
        <v>0</v>
      </c>
      <c r="AQ400" s="30" t="s">
        <v>57</v>
      </c>
      <c r="AV400" s="28">
        <f>AW400+AX400</f>
        <v>0</v>
      </c>
      <c r="AW400" s="28">
        <f>F400*AO400</f>
        <v>0</v>
      </c>
      <c r="AX400" s="28">
        <f>F400*AP400</f>
        <v>0</v>
      </c>
      <c r="AY400" s="30" t="s">
        <v>737</v>
      </c>
      <c r="AZ400" s="30" t="s">
        <v>315</v>
      </c>
      <c r="BA400" s="10" t="s">
        <v>242</v>
      </c>
      <c r="BC400" s="28">
        <f>AW400+AX400</f>
        <v>0</v>
      </c>
      <c r="BD400" s="28">
        <f>G400/(100-BE400)*100</f>
        <v>0</v>
      </c>
      <c r="BE400" s="28">
        <v>0</v>
      </c>
      <c r="BF400" s="28">
        <f>400</f>
        <v>400</v>
      </c>
      <c r="BH400" s="28">
        <f>F400*AO400</f>
        <v>0</v>
      </c>
      <c r="BI400" s="28">
        <f>F400*AP400</f>
        <v>0</v>
      </c>
      <c r="BJ400" s="28">
        <f>F400*G400</f>
        <v>0</v>
      </c>
      <c r="BK400" s="28"/>
      <c r="BL400" s="28">
        <v>62</v>
      </c>
      <c r="BW400" s="28">
        <v>21</v>
      </c>
    </row>
    <row r="401" spans="1:75" x14ac:dyDescent="0.25">
      <c r="A401" s="31"/>
      <c r="C401" s="32" t="s">
        <v>738</v>
      </c>
      <c r="D401" s="32" t="s">
        <v>752</v>
      </c>
      <c r="F401" s="33">
        <v>55.55</v>
      </c>
      <c r="K401" s="34"/>
    </row>
    <row r="402" spans="1:75" x14ac:dyDescent="0.25">
      <c r="A402" s="24" t="s">
        <v>52</v>
      </c>
      <c r="B402" s="25" t="s">
        <v>482</v>
      </c>
      <c r="C402" s="139" t="s">
        <v>753</v>
      </c>
      <c r="D402" s="140"/>
      <c r="E402" s="26" t="s">
        <v>4</v>
      </c>
      <c r="F402" s="26" t="s">
        <v>4</v>
      </c>
      <c r="G402" s="26" t="s">
        <v>4</v>
      </c>
      <c r="H402" s="1">
        <f>SUM(H403:H406)</f>
        <v>0</v>
      </c>
      <c r="I402" s="1">
        <f>SUM(I403:I406)</f>
        <v>0</v>
      </c>
      <c r="J402" s="1">
        <f>SUM(J403:J406)</f>
        <v>0</v>
      </c>
      <c r="K402" s="27" t="s">
        <v>52</v>
      </c>
      <c r="AI402" s="10" t="s">
        <v>236</v>
      </c>
      <c r="AS402" s="1">
        <f>SUM(AJ403:AJ406)</f>
        <v>0</v>
      </c>
      <c r="AT402" s="1">
        <f>SUM(AK403:AK406)</f>
        <v>0</v>
      </c>
      <c r="AU402" s="1">
        <f>SUM(AL403:AL406)</f>
        <v>0</v>
      </c>
    </row>
    <row r="403" spans="1:75" ht="13.5" customHeight="1" x14ac:dyDescent="0.25">
      <c r="A403" s="2" t="s">
        <v>754</v>
      </c>
      <c r="B403" s="3" t="s">
        <v>755</v>
      </c>
      <c r="C403" s="83" t="s">
        <v>756</v>
      </c>
      <c r="D403" s="80"/>
      <c r="E403" s="3" t="s">
        <v>60</v>
      </c>
      <c r="F403" s="28">
        <v>89.42</v>
      </c>
      <c r="G403" s="28">
        <v>0</v>
      </c>
      <c r="H403" s="28">
        <f>F403*AO403</f>
        <v>0</v>
      </c>
      <c r="I403" s="28">
        <f>F403*AP403</f>
        <v>0</v>
      </c>
      <c r="J403" s="28">
        <f>F403*G403</f>
        <v>0</v>
      </c>
      <c r="K403" s="29" t="s">
        <v>61</v>
      </c>
      <c r="Z403" s="28">
        <f>IF(AQ403="5",BJ403,0)</f>
        <v>0</v>
      </c>
      <c r="AB403" s="28">
        <f>IF(AQ403="1",BH403,0)</f>
        <v>0</v>
      </c>
      <c r="AC403" s="28">
        <f>IF(AQ403="1",BI403,0)</f>
        <v>0</v>
      </c>
      <c r="AD403" s="28">
        <f>IF(AQ403="7",BH403,0)</f>
        <v>0</v>
      </c>
      <c r="AE403" s="28">
        <f>IF(AQ403="7",BI403,0)</f>
        <v>0</v>
      </c>
      <c r="AF403" s="28">
        <f>IF(AQ403="2",BH403,0)</f>
        <v>0</v>
      </c>
      <c r="AG403" s="28">
        <f>IF(AQ403="2",BI403,0)</f>
        <v>0</v>
      </c>
      <c r="AH403" s="28">
        <f>IF(AQ403="0",BJ403,0)</f>
        <v>0</v>
      </c>
      <c r="AI403" s="10" t="s">
        <v>236</v>
      </c>
      <c r="AJ403" s="28">
        <f>IF(AN403=0,J403,0)</f>
        <v>0</v>
      </c>
      <c r="AK403" s="28">
        <f>IF(AN403=12,J403,0)</f>
        <v>0</v>
      </c>
      <c r="AL403" s="28">
        <f>IF(AN403=21,J403,0)</f>
        <v>0</v>
      </c>
      <c r="AN403" s="28">
        <v>21</v>
      </c>
      <c r="AO403" s="28">
        <f>G403*0.777490155</f>
        <v>0</v>
      </c>
      <c r="AP403" s="28">
        <f>G403*(1-0.777490155)</f>
        <v>0</v>
      </c>
      <c r="AQ403" s="30" t="s">
        <v>57</v>
      </c>
      <c r="AV403" s="28">
        <f>AW403+AX403</f>
        <v>0</v>
      </c>
      <c r="AW403" s="28">
        <f>F403*AO403</f>
        <v>0</v>
      </c>
      <c r="AX403" s="28">
        <f>F403*AP403</f>
        <v>0</v>
      </c>
      <c r="AY403" s="30" t="s">
        <v>757</v>
      </c>
      <c r="AZ403" s="30" t="s">
        <v>315</v>
      </c>
      <c r="BA403" s="10" t="s">
        <v>242</v>
      </c>
      <c r="BC403" s="28">
        <f>AW403+AX403</f>
        <v>0</v>
      </c>
      <c r="BD403" s="28">
        <f>G403/(100-BE403)*100</f>
        <v>0</v>
      </c>
      <c r="BE403" s="28">
        <v>0</v>
      </c>
      <c r="BF403" s="28">
        <f>403</f>
        <v>403</v>
      </c>
      <c r="BH403" s="28">
        <f>F403*AO403</f>
        <v>0</v>
      </c>
      <c r="BI403" s="28">
        <f>F403*AP403</f>
        <v>0</v>
      </c>
      <c r="BJ403" s="28">
        <f>F403*G403</f>
        <v>0</v>
      </c>
      <c r="BK403" s="28"/>
      <c r="BL403" s="28">
        <v>63</v>
      </c>
      <c r="BW403" s="28">
        <v>21</v>
      </c>
    </row>
    <row r="404" spans="1:75" x14ac:dyDescent="0.25">
      <c r="A404" s="31"/>
      <c r="C404" s="32" t="s">
        <v>758</v>
      </c>
      <c r="D404" s="32" t="s">
        <v>52</v>
      </c>
      <c r="F404" s="33">
        <v>89.42</v>
      </c>
      <c r="K404" s="34"/>
    </row>
    <row r="405" spans="1:75" ht="13.5" customHeight="1" x14ac:dyDescent="0.25">
      <c r="A405" s="2" t="s">
        <v>759</v>
      </c>
      <c r="B405" s="3" t="s">
        <v>760</v>
      </c>
      <c r="C405" s="83" t="s">
        <v>761</v>
      </c>
      <c r="D405" s="80"/>
      <c r="E405" s="3" t="s">
        <v>60</v>
      </c>
      <c r="F405" s="28">
        <v>89.42</v>
      </c>
      <c r="G405" s="28">
        <v>0</v>
      </c>
      <c r="H405" s="28">
        <f>F405*AO405</f>
        <v>0</v>
      </c>
      <c r="I405" s="28">
        <f>F405*AP405</f>
        <v>0</v>
      </c>
      <c r="J405" s="28">
        <f>F405*G405</f>
        <v>0</v>
      </c>
      <c r="K405" s="29" t="s">
        <v>61</v>
      </c>
      <c r="Z405" s="28">
        <f>IF(AQ405="5",BJ405,0)</f>
        <v>0</v>
      </c>
      <c r="AB405" s="28">
        <f>IF(AQ405="1",BH405,0)</f>
        <v>0</v>
      </c>
      <c r="AC405" s="28">
        <f>IF(AQ405="1",BI405,0)</f>
        <v>0</v>
      </c>
      <c r="AD405" s="28">
        <f>IF(AQ405="7",BH405,0)</f>
        <v>0</v>
      </c>
      <c r="AE405" s="28">
        <f>IF(AQ405="7",BI405,0)</f>
        <v>0</v>
      </c>
      <c r="AF405" s="28">
        <f>IF(AQ405="2",BH405,0)</f>
        <v>0</v>
      </c>
      <c r="AG405" s="28">
        <f>IF(AQ405="2",BI405,0)</f>
        <v>0</v>
      </c>
      <c r="AH405" s="28">
        <f>IF(AQ405="0",BJ405,0)</f>
        <v>0</v>
      </c>
      <c r="AI405" s="10" t="s">
        <v>236</v>
      </c>
      <c r="AJ405" s="28">
        <f>IF(AN405=0,J405,0)</f>
        <v>0</v>
      </c>
      <c r="AK405" s="28">
        <f>IF(AN405=12,J405,0)</f>
        <v>0</v>
      </c>
      <c r="AL405" s="28">
        <f>IF(AN405=21,J405,0)</f>
        <v>0</v>
      </c>
      <c r="AN405" s="28">
        <v>21</v>
      </c>
      <c r="AO405" s="28">
        <f>G405*0</f>
        <v>0</v>
      </c>
      <c r="AP405" s="28">
        <f>G405*(1-0)</f>
        <v>0</v>
      </c>
      <c r="AQ405" s="30" t="s">
        <v>57</v>
      </c>
      <c r="AV405" s="28">
        <f>AW405+AX405</f>
        <v>0</v>
      </c>
      <c r="AW405" s="28">
        <f>F405*AO405</f>
        <v>0</v>
      </c>
      <c r="AX405" s="28">
        <f>F405*AP405</f>
        <v>0</v>
      </c>
      <c r="AY405" s="30" t="s">
        <v>757</v>
      </c>
      <c r="AZ405" s="30" t="s">
        <v>315</v>
      </c>
      <c r="BA405" s="10" t="s">
        <v>242</v>
      </c>
      <c r="BC405" s="28">
        <f>AW405+AX405</f>
        <v>0</v>
      </c>
      <c r="BD405" s="28">
        <f>G405/(100-BE405)*100</f>
        <v>0</v>
      </c>
      <c r="BE405" s="28">
        <v>0</v>
      </c>
      <c r="BF405" s="28">
        <f>405</f>
        <v>405</v>
      </c>
      <c r="BH405" s="28">
        <f>F405*AO405</f>
        <v>0</v>
      </c>
      <c r="BI405" s="28">
        <f>F405*AP405</f>
        <v>0</v>
      </c>
      <c r="BJ405" s="28">
        <f>F405*G405</f>
        <v>0</v>
      </c>
      <c r="BK405" s="28"/>
      <c r="BL405" s="28">
        <v>63</v>
      </c>
      <c r="BW405" s="28">
        <v>21</v>
      </c>
    </row>
    <row r="406" spans="1:75" ht="13.5" customHeight="1" x14ac:dyDescent="0.25">
      <c r="A406" s="2" t="s">
        <v>762</v>
      </c>
      <c r="B406" s="3" t="s">
        <v>763</v>
      </c>
      <c r="C406" s="83" t="s">
        <v>764</v>
      </c>
      <c r="D406" s="80"/>
      <c r="E406" s="3" t="s">
        <v>71</v>
      </c>
      <c r="F406" s="28">
        <v>3.8584000000000001</v>
      </c>
      <c r="G406" s="28">
        <v>0</v>
      </c>
      <c r="H406" s="28">
        <f>F406*AO406</f>
        <v>0</v>
      </c>
      <c r="I406" s="28">
        <f>F406*AP406</f>
        <v>0</v>
      </c>
      <c r="J406" s="28">
        <f>F406*G406</f>
        <v>0</v>
      </c>
      <c r="K406" s="29" t="s">
        <v>61</v>
      </c>
      <c r="Z406" s="28">
        <f>IF(AQ406="5",BJ406,0)</f>
        <v>0</v>
      </c>
      <c r="AB406" s="28">
        <f>IF(AQ406="1",BH406,0)</f>
        <v>0</v>
      </c>
      <c r="AC406" s="28">
        <f>IF(AQ406="1",BI406,0)</f>
        <v>0</v>
      </c>
      <c r="AD406" s="28">
        <f>IF(AQ406="7",BH406,0)</f>
        <v>0</v>
      </c>
      <c r="AE406" s="28">
        <f>IF(AQ406="7",BI406,0)</f>
        <v>0</v>
      </c>
      <c r="AF406" s="28">
        <f>IF(AQ406="2",BH406,0)</f>
        <v>0</v>
      </c>
      <c r="AG406" s="28">
        <f>IF(AQ406="2",BI406,0)</f>
        <v>0</v>
      </c>
      <c r="AH406" s="28">
        <f>IF(AQ406="0",BJ406,0)</f>
        <v>0</v>
      </c>
      <c r="AI406" s="10" t="s">
        <v>236</v>
      </c>
      <c r="AJ406" s="28">
        <f>IF(AN406=0,J406,0)</f>
        <v>0</v>
      </c>
      <c r="AK406" s="28">
        <f>IF(AN406=12,J406,0)</f>
        <v>0</v>
      </c>
      <c r="AL406" s="28">
        <f>IF(AN406=21,J406,0)</f>
        <v>0</v>
      </c>
      <c r="AN406" s="28">
        <v>21</v>
      </c>
      <c r="AO406" s="28">
        <f>G406*0.783669837</f>
        <v>0</v>
      </c>
      <c r="AP406" s="28">
        <f>G406*(1-0.783669837)</f>
        <v>0</v>
      </c>
      <c r="AQ406" s="30" t="s">
        <v>57</v>
      </c>
      <c r="AV406" s="28">
        <f>AW406+AX406</f>
        <v>0</v>
      </c>
      <c r="AW406" s="28">
        <f>F406*AO406</f>
        <v>0</v>
      </c>
      <c r="AX406" s="28">
        <f>F406*AP406</f>
        <v>0</v>
      </c>
      <c r="AY406" s="30" t="s">
        <v>757</v>
      </c>
      <c r="AZ406" s="30" t="s">
        <v>315</v>
      </c>
      <c r="BA406" s="10" t="s">
        <v>242</v>
      </c>
      <c r="BC406" s="28">
        <f>AW406+AX406</f>
        <v>0</v>
      </c>
      <c r="BD406" s="28">
        <f>G406/(100-BE406)*100</f>
        <v>0</v>
      </c>
      <c r="BE406" s="28">
        <v>0</v>
      </c>
      <c r="BF406" s="28">
        <f>406</f>
        <v>406</v>
      </c>
      <c r="BH406" s="28">
        <f>F406*AO406</f>
        <v>0</v>
      </c>
      <c r="BI406" s="28">
        <f>F406*AP406</f>
        <v>0</v>
      </c>
      <c r="BJ406" s="28">
        <f>F406*G406</f>
        <v>0</v>
      </c>
      <c r="BK406" s="28"/>
      <c r="BL406" s="28">
        <v>63</v>
      </c>
      <c r="BW406" s="28">
        <v>21</v>
      </c>
    </row>
    <row r="407" spans="1:75" x14ac:dyDescent="0.25">
      <c r="A407" s="31"/>
      <c r="C407" s="32" t="s">
        <v>765</v>
      </c>
      <c r="D407" s="32" t="s">
        <v>371</v>
      </c>
      <c r="F407" s="33">
        <v>3.8584000000000001</v>
      </c>
      <c r="K407" s="34"/>
    </row>
    <row r="408" spans="1:75" x14ac:dyDescent="0.25">
      <c r="A408" s="24" t="s">
        <v>52</v>
      </c>
      <c r="B408" s="25" t="s">
        <v>486</v>
      </c>
      <c r="C408" s="139" t="s">
        <v>766</v>
      </c>
      <c r="D408" s="140"/>
      <c r="E408" s="26" t="s">
        <v>4</v>
      </c>
      <c r="F408" s="26" t="s">
        <v>4</v>
      </c>
      <c r="G408" s="26" t="s">
        <v>4</v>
      </c>
      <c r="H408" s="1">
        <f>SUM(H409:H409)</f>
        <v>0</v>
      </c>
      <c r="I408" s="1">
        <f>SUM(I409:I409)</f>
        <v>0</v>
      </c>
      <c r="J408" s="1">
        <f>SUM(J409:J409)</f>
        <v>0</v>
      </c>
      <c r="K408" s="27" t="s">
        <v>52</v>
      </c>
      <c r="AI408" s="10" t="s">
        <v>236</v>
      </c>
      <c r="AS408" s="1">
        <f>SUM(AJ409:AJ409)</f>
        <v>0</v>
      </c>
      <c r="AT408" s="1">
        <f>SUM(AK409:AK409)</f>
        <v>0</v>
      </c>
      <c r="AU408" s="1">
        <f>SUM(AL409:AL409)</f>
        <v>0</v>
      </c>
    </row>
    <row r="409" spans="1:75" ht="27" customHeight="1" x14ac:dyDescent="0.25">
      <c r="A409" s="2" t="s">
        <v>767</v>
      </c>
      <c r="B409" s="3" t="s">
        <v>768</v>
      </c>
      <c r="C409" s="83" t="s">
        <v>769</v>
      </c>
      <c r="D409" s="80"/>
      <c r="E409" s="3" t="s">
        <v>137</v>
      </c>
      <c r="F409" s="28">
        <v>2</v>
      </c>
      <c r="G409" s="28">
        <v>0</v>
      </c>
      <c r="H409" s="28">
        <f>F409*AO409</f>
        <v>0</v>
      </c>
      <c r="I409" s="28">
        <f>F409*AP409</f>
        <v>0</v>
      </c>
      <c r="J409" s="28">
        <f>F409*G409</f>
        <v>0</v>
      </c>
      <c r="K409" s="29" t="s">
        <v>61</v>
      </c>
      <c r="Z409" s="28">
        <f>IF(AQ409="5",BJ409,0)</f>
        <v>0</v>
      </c>
      <c r="AB409" s="28">
        <f>IF(AQ409="1",BH409,0)</f>
        <v>0</v>
      </c>
      <c r="AC409" s="28">
        <f>IF(AQ409="1",BI409,0)</f>
        <v>0</v>
      </c>
      <c r="AD409" s="28">
        <f>IF(AQ409="7",BH409,0)</f>
        <v>0</v>
      </c>
      <c r="AE409" s="28">
        <f>IF(AQ409="7",BI409,0)</f>
        <v>0</v>
      </c>
      <c r="AF409" s="28">
        <f>IF(AQ409="2",BH409,0)</f>
        <v>0</v>
      </c>
      <c r="AG409" s="28">
        <f>IF(AQ409="2",BI409,0)</f>
        <v>0</v>
      </c>
      <c r="AH409" s="28">
        <f>IF(AQ409="0",BJ409,0)</f>
        <v>0</v>
      </c>
      <c r="AI409" s="10" t="s">
        <v>236</v>
      </c>
      <c r="AJ409" s="28">
        <f>IF(AN409=0,J409,0)</f>
        <v>0</v>
      </c>
      <c r="AK409" s="28">
        <f>IF(AN409=12,J409,0)</f>
        <v>0</v>
      </c>
      <c r="AL409" s="28">
        <f>IF(AN409=21,J409,0)</f>
        <v>0</v>
      </c>
      <c r="AN409" s="28">
        <v>21</v>
      </c>
      <c r="AO409" s="28">
        <f>G409*0.68699845</f>
        <v>0</v>
      </c>
      <c r="AP409" s="28">
        <f>G409*(1-0.68699845)</f>
        <v>0</v>
      </c>
      <c r="AQ409" s="30" t="s">
        <v>57</v>
      </c>
      <c r="AV409" s="28">
        <f>AW409+AX409</f>
        <v>0</v>
      </c>
      <c r="AW409" s="28">
        <f>F409*AO409</f>
        <v>0</v>
      </c>
      <c r="AX409" s="28">
        <f>F409*AP409</f>
        <v>0</v>
      </c>
      <c r="AY409" s="30" t="s">
        <v>770</v>
      </c>
      <c r="AZ409" s="30" t="s">
        <v>315</v>
      </c>
      <c r="BA409" s="10" t="s">
        <v>242</v>
      </c>
      <c r="BC409" s="28">
        <f>AW409+AX409</f>
        <v>0</v>
      </c>
      <c r="BD409" s="28">
        <f>G409/(100-BE409)*100</f>
        <v>0</v>
      </c>
      <c r="BE409" s="28">
        <v>0</v>
      </c>
      <c r="BF409" s="28">
        <f>409</f>
        <v>409</v>
      </c>
      <c r="BH409" s="28">
        <f>F409*AO409</f>
        <v>0</v>
      </c>
      <c r="BI409" s="28">
        <f>F409*AP409</f>
        <v>0</v>
      </c>
      <c r="BJ409" s="28">
        <f>F409*G409</f>
        <v>0</v>
      </c>
      <c r="BK409" s="28"/>
      <c r="BL409" s="28">
        <v>64</v>
      </c>
      <c r="BW409" s="28">
        <v>21</v>
      </c>
    </row>
    <row r="410" spans="1:75" x14ac:dyDescent="0.25">
      <c r="A410" s="31"/>
      <c r="C410" s="32" t="s">
        <v>68</v>
      </c>
      <c r="D410" s="32" t="s">
        <v>52</v>
      </c>
      <c r="F410" s="33">
        <v>2</v>
      </c>
      <c r="K410" s="34"/>
    </row>
    <row r="411" spans="1:75" x14ac:dyDescent="0.25">
      <c r="A411" s="24" t="s">
        <v>52</v>
      </c>
      <c r="B411" s="25" t="s">
        <v>771</v>
      </c>
      <c r="C411" s="139" t="s">
        <v>772</v>
      </c>
      <c r="D411" s="140"/>
      <c r="E411" s="26" t="s">
        <v>4</v>
      </c>
      <c r="F411" s="26" t="s">
        <v>4</v>
      </c>
      <c r="G411" s="26" t="s">
        <v>4</v>
      </c>
      <c r="H411" s="1">
        <f>SUM(H412:H436)</f>
        <v>0</v>
      </c>
      <c r="I411" s="1">
        <f>SUM(I412:I436)</f>
        <v>0</v>
      </c>
      <c r="J411" s="1">
        <f>SUM(J412:J436)</f>
        <v>0</v>
      </c>
      <c r="K411" s="27" t="s">
        <v>52</v>
      </c>
      <c r="AI411" s="10" t="s">
        <v>236</v>
      </c>
      <c r="AS411" s="1">
        <f>SUM(AJ412:AJ436)</f>
        <v>0</v>
      </c>
      <c r="AT411" s="1">
        <f>SUM(AK412:AK436)</f>
        <v>0</v>
      </c>
      <c r="AU411" s="1">
        <f>SUM(AL412:AL436)</f>
        <v>0</v>
      </c>
    </row>
    <row r="412" spans="1:75" ht="13.5" customHeight="1" x14ac:dyDescent="0.25">
      <c r="A412" s="2" t="s">
        <v>773</v>
      </c>
      <c r="B412" s="3" t="s">
        <v>774</v>
      </c>
      <c r="C412" s="83" t="s">
        <v>775</v>
      </c>
      <c r="D412" s="80"/>
      <c r="E412" s="3" t="s">
        <v>148</v>
      </c>
      <c r="F412" s="28">
        <v>478.67500000000001</v>
      </c>
      <c r="G412" s="28">
        <v>0</v>
      </c>
      <c r="H412" s="28">
        <f>F412*AO412</f>
        <v>0</v>
      </c>
      <c r="I412" s="28">
        <f>F412*AP412</f>
        <v>0</v>
      </c>
      <c r="J412" s="28">
        <f>F412*G412</f>
        <v>0</v>
      </c>
      <c r="K412" s="29" t="s">
        <v>61</v>
      </c>
      <c r="Z412" s="28">
        <f>IF(AQ412="5",BJ412,0)</f>
        <v>0</v>
      </c>
      <c r="AB412" s="28">
        <f>IF(AQ412="1",BH412,0)</f>
        <v>0</v>
      </c>
      <c r="AC412" s="28">
        <f>IF(AQ412="1",BI412,0)</f>
        <v>0</v>
      </c>
      <c r="AD412" s="28">
        <f>IF(AQ412="7",BH412,0)</f>
        <v>0</v>
      </c>
      <c r="AE412" s="28">
        <f>IF(AQ412="7",BI412,0)</f>
        <v>0</v>
      </c>
      <c r="AF412" s="28">
        <f>IF(AQ412="2",BH412,0)</f>
        <v>0</v>
      </c>
      <c r="AG412" s="28">
        <f>IF(AQ412="2",BI412,0)</f>
        <v>0</v>
      </c>
      <c r="AH412" s="28">
        <f>IF(AQ412="0",BJ412,0)</f>
        <v>0</v>
      </c>
      <c r="AI412" s="10" t="s">
        <v>236</v>
      </c>
      <c r="AJ412" s="28">
        <f>IF(AN412=0,J412,0)</f>
        <v>0</v>
      </c>
      <c r="AK412" s="28">
        <f>IF(AN412=12,J412,0)</f>
        <v>0</v>
      </c>
      <c r="AL412" s="28">
        <f>IF(AN412=21,J412,0)</f>
        <v>0</v>
      </c>
      <c r="AN412" s="28">
        <v>21</v>
      </c>
      <c r="AO412" s="28">
        <f>G412*0</f>
        <v>0</v>
      </c>
      <c r="AP412" s="28">
        <f>G412*(1-0)</f>
        <v>0</v>
      </c>
      <c r="AQ412" s="30" t="s">
        <v>98</v>
      </c>
      <c r="AV412" s="28">
        <f>AW412+AX412</f>
        <v>0</v>
      </c>
      <c r="AW412" s="28">
        <f>F412*AO412</f>
        <v>0</v>
      </c>
      <c r="AX412" s="28">
        <f>F412*AP412</f>
        <v>0</v>
      </c>
      <c r="AY412" s="30" t="s">
        <v>776</v>
      </c>
      <c r="AZ412" s="30" t="s">
        <v>777</v>
      </c>
      <c r="BA412" s="10" t="s">
        <v>242</v>
      </c>
      <c r="BC412" s="28">
        <f>AW412+AX412</f>
        <v>0</v>
      </c>
      <c r="BD412" s="28">
        <f>G412/(100-BE412)*100</f>
        <v>0</v>
      </c>
      <c r="BE412" s="28">
        <v>0</v>
      </c>
      <c r="BF412" s="28">
        <f>412</f>
        <v>412</v>
      </c>
      <c r="BH412" s="28">
        <f>F412*AO412</f>
        <v>0</v>
      </c>
      <c r="BI412" s="28">
        <f>F412*AP412</f>
        <v>0</v>
      </c>
      <c r="BJ412" s="28">
        <f>F412*G412</f>
        <v>0</v>
      </c>
      <c r="BK412" s="28"/>
      <c r="BL412" s="28">
        <v>711</v>
      </c>
      <c r="BW412" s="28">
        <v>21</v>
      </c>
    </row>
    <row r="413" spans="1:75" x14ac:dyDescent="0.25">
      <c r="A413" s="31"/>
      <c r="C413" s="32" t="s">
        <v>336</v>
      </c>
      <c r="D413" s="32" t="s">
        <v>778</v>
      </c>
      <c r="F413" s="33">
        <v>466</v>
      </c>
      <c r="K413" s="34"/>
    </row>
    <row r="414" spans="1:75" x14ac:dyDescent="0.25">
      <c r="A414" s="31"/>
      <c r="C414" s="32" t="s">
        <v>779</v>
      </c>
      <c r="D414" s="32" t="s">
        <v>540</v>
      </c>
      <c r="F414" s="33">
        <v>12.675000000000001</v>
      </c>
      <c r="K414" s="34"/>
    </row>
    <row r="415" spans="1:75" ht="13.5" customHeight="1" x14ac:dyDescent="0.25">
      <c r="A415" s="2" t="s">
        <v>780</v>
      </c>
      <c r="B415" s="3" t="s">
        <v>781</v>
      </c>
      <c r="C415" s="83" t="s">
        <v>782</v>
      </c>
      <c r="D415" s="80"/>
      <c r="E415" s="3" t="s">
        <v>148</v>
      </c>
      <c r="F415" s="28">
        <v>80.325000000000003</v>
      </c>
      <c r="G415" s="28">
        <v>0</v>
      </c>
      <c r="H415" s="28">
        <f>F415*AO415</f>
        <v>0</v>
      </c>
      <c r="I415" s="28">
        <f>F415*AP415</f>
        <v>0</v>
      </c>
      <c r="J415" s="28">
        <f>F415*G415</f>
        <v>0</v>
      </c>
      <c r="K415" s="29" t="s">
        <v>61</v>
      </c>
      <c r="Z415" s="28">
        <f>IF(AQ415="5",BJ415,0)</f>
        <v>0</v>
      </c>
      <c r="AB415" s="28">
        <f>IF(AQ415="1",BH415,0)</f>
        <v>0</v>
      </c>
      <c r="AC415" s="28">
        <f>IF(AQ415="1",BI415,0)</f>
        <v>0</v>
      </c>
      <c r="AD415" s="28">
        <f>IF(AQ415="7",BH415,0)</f>
        <v>0</v>
      </c>
      <c r="AE415" s="28">
        <f>IF(AQ415="7",BI415,0)</f>
        <v>0</v>
      </c>
      <c r="AF415" s="28">
        <f>IF(AQ415="2",BH415,0)</f>
        <v>0</v>
      </c>
      <c r="AG415" s="28">
        <f>IF(AQ415="2",BI415,0)</f>
        <v>0</v>
      </c>
      <c r="AH415" s="28">
        <f>IF(AQ415="0",BJ415,0)</f>
        <v>0</v>
      </c>
      <c r="AI415" s="10" t="s">
        <v>236</v>
      </c>
      <c r="AJ415" s="28">
        <f>IF(AN415=0,J415,0)</f>
        <v>0</v>
      </c>
      <c r="AK415" s="28">
        <f>IF(AN415=12,J415,0)</f>
        <v>0</v>
      </c>
      <c r="AL415" s="28">
        <f>IF(AN415=21,J415,0)</f>
        <v>0</v>
      </c>
      <c r="AN415" s="28">
        <v>21</v>
      </c>
      <c r="AO415" s="28">
        <f>G415*0.165333333</f>
        <v>0</v>
      </c>
      <c r="AP415" s="28">
        <f>G415*(1-0.165333333)</f>
        <v>0</v>
      </c>
      <c r="AQ415" s="30" t="s">
        <v>98</v>
      </c>
      <c r="AV415" s="28">
        <f>AW415+AX415</f>
        <v>0</v>
      </c>
      <c r="AW415" s="28">
        <f>F415*AO415</f>
        <v>0</v>
      </c>
      <c r="AX415" s="28">
        <f>F415*AP415</f>
        <v>0</v>
      </c>
      <c r="AY415" s="30" t="s">
        <v>776</v>
      </c>
      <c r="AZ415" s="30" t="s">
        <v>777</v>
      </c>
      <c r="BA415" s="10" t="s">
        <v>242</v>
      </c>
      <c r="BC415" s="28">
        <f>AW415+AX415</f>
        <v>0</v>
      </c>
      <c r="BD415" s="28">
        <f>G415/(100-BE415)*100</f>
        <v>0</v>
      </c>
      <c r="BE415" s="28">
        <v>0</v>
      </c>
      <c r="BF415" s="28">
        <f>415</f>
        <v>415</v>
      </c>
      <c r="BH415" s="28">
        <f>F415*AO415</f>
        <v>0</v>
      </c>
      <c r="BI415" s="28">
        <f>F415*AP415</f>
        <v>0</v>
      </c>
      <c r="BJ415" s="28">
        <f>F415*G415</f>
        <v>0</v>
      </c>
      <c r="BK415" s="28"/>
      <c r="BL415" s="28">
        <v>711</v>
      </c>
      <c r="BW415" s="28">
        <v>21</v>
      </c>
    </row>
    <row r="416" spans="1:75" x14ac:dyDescent="0.25">
      <c r="A416" s="31"/>
      <c r="C416" s="32" t="s">
        <v>783</v>
      </c>
      <c r="D416" s="32" t="s">
        <v>784</v>
      </c>
      <c r="F416" s="33">
        <v>30.375</v>
      </c>
      <c r="K416" s="34"/>
    </row>
    <row r="417" spans="1:75" x14ac:dyDescent="0.25">
      <c r="A417" s="31"/>
      <c r="C417" s="32" t="s">
        <v>785</v>
      </c>
      <c r="D417" s="32" t="s">
        <v>786</v>
      </c>
      <c r="F417" s="33">
        <v>9.9499999999999993</v>
      </c>
      <c r="K417" s="34"/>
    </row>
    <row r="418" spans="1:75" x14ac:dyDescent="0.25">
      <c r="A418" s="31"/>
      <c r="C418" s="32" t="s">
        <v>787</v>
      </c>
      <c r="D418" s="32" t="s">
        <v>788</v>
      </c>
      <c r="F418" s="33">
        <v>40</v>
      </c>
      <c r="K418" s="34"/>
    </row>
    <row r="419" spans="1:75" ht="13.5" customHeight="1" x14ac:dyDescent="0.25">
      <c r="A419" s="2" t="s">
        <v>789</v>
      </c>
      <c r="B419" s="3" t="s">
        <v>790</v>
      </c>
      <c r="C419" s="83" t="s">
        <v>791</v>
      </c>
      <c r="D419" s="80"/>
      <c r="E419" s="3" t="s">
        <v>71</v>
      </c>
      <c r="F419" s="28">
        <v>0.17</v>
      </c>
      <c r="G419" s="28">
        <v>0</v>
      </c>
      <c r="H419" s="28">
        <f>F419*AO419</f>
        <v>0</v>
      </c>
      <c r="I419" s="28">
        <f>F419*AP419</f>
        <v>0</v>
      </c>
      <c r="J419" s="28">
        <f>F419*G419</f>
        <v>0</v>
      </c>
      <c r="K419" s="29" t="s">
        <v>61</v>
      </c>
      <c r="Z419" s="28">
        <f>IF(AQ419="5",BJ419,0)</f>
        <v>0</v>
      </c>
      <c r="AB419" s="28">
        <f>IF(AQ419="1",BH419,0)</f>
        <v>0</v>
      </c>
      <c r="AC419" s="28">
        <f>IF(AQ419="1",BI419,0)</f>
        <v>0</v>
      </c>
      <c r="AD419" s="28">
        <f>IF(AQ419="7",BH419,0)</f>
        <v>0</v>
      </c>
      <c r="AE419" s="28">
        <f>IF(AQ419="7",BI419,0)</f>
        <v>0</v>
      </c>
      <c r="AF419" s="28">
        <f>IF(AQ419="2",BH419,0)</f>
        <v>0</v>
      </c>
      <c r="AG419" s="28">
        <f>IF(AQ419="2",BI419,0)</f>
        <v>0</v>
      </c>
      <c r="AH419" s="28">
        <f>IF(AQ419="0",BJ419,0)</f>
        <v>0</v>
      </c>
      <c r="AI419" s="10" t="s">
        <v>236</v>
      </c>
      <c r="AJ419" s="28">
        <f>IF(AN419=0,J419,0)</f>
        <v>0</v>
      </c>
      <c r="AK419" s="28">
        <f>IF(AN419=12,J419,0)</f>
        <v>0</v>
      </c>
      <c r="AL419" s="28">
        <f>IF(AN419=21,J419,0)</f>
        <v>0</v>
      </c>
      <c r="AN419" s="28">
        <v>21</v>
      </c>
      <c r="AO419" s="28">
        <f>G419*1</f>
        <v>0</v>
      </c>
      <c r="AP419" s="28">
        <f>G419*(1-1)</f>
        <v>0</v>
      </c>
      <c r="AQ419" s="30" t="s">
        <v>98</v>
      </c>
      <c r="AV419" s="28">
        <f>AW419+AX419</f>
        <v>0</v>
      </c>
      <c r="AW419" s="28">
        <f>F419*AO419</f>
        <v>0</v>
      </c>
      <c r="AX419" s="28">
        <f>F419*AP419</f>
        <v>0</v>
      </c>
      <c r="AY419" s="30" t="s">
        <v>776</v>
      </c>
      <c r="AZ419" s="30" t="s">
        <v>777</v>
      </c>
      <c r="BA419" s="10" t="s">
        <v>242</v>
      </c>
      <c r="BC419" s="28">
        <f>AW419+AX419</f>
        <v>0</v>
      </c>
      <c r="BD419" s="28">
        <f>G419/(100-BE419)*100</f>
        <v>0</v>
      </c>
      <c r="BE419" s="28">
        <v>0</v>
      </c>
      <c r="BF419" s="28">
        <f>419</f>
        <v>419</v>
      </c>
      <c r="BH419" s="28">
        <f>F419*AO419</f>
        <v>0</v>
      </c>
      <c r="BI419" s="28">
        <f>F419*AP419</f>
        <v>0</v>
      </c>
      <c r="BJ419" s="28">
        <f>F419*G419</f>
        <v>0</v>
      </c>
      <c r="BK419" s="28"/>
      <c r="BL419" s="28">
        <v>711</v>
      </c>
      <c r="BW419" s="28">
        <v>21</v>
      </c>
    </row>
    <row r="420" spans="1:75" x14ac:dyDescent="0.25">
      <c r="A420" s="31"/>
      <c r="C420" s="32" t="s">
        <v>792</v>
      </c>
      <c r="D420" s="32" t="s">
        <v>793</v>
      </c>
      <c r="F420" s="33">
        <v>0.17</v>
      </c>
      <c r="K420" s="34"/>
    </row>
    <row r="421" spans="1:75" ht="13.5" customHeight="1" x14ac:dyDescent="0.25">
      <c r="A421" s="2" t="s">
        <v>794</v>
      </c>
      <c r="B421" s="3" t="s">
        <v>795</v>
      </c>
      <c r="C421" s="83" t="s">
        <v>796</v>
      </c>
      <c r="D421" s="80"/>
      <c r="E421" s="3" t="s">
        <v>148</v>
      </c>
      <c r="F421" s="28">
        <v>478.67500000000001</v>
      </c>
      <c r="G421" s="28">
        <v>0</v>
      </c>
      <c r="H421" s="28">
        <f>F421*AO421</f>
        <v>0</v>
      </c>
      <c r="I421" s="28">
        <f>F421*AP421</f>
        <v>0</v>
      </c>
      <c r="J421" s="28">
        <f>F421*G421</f>
        <v>0</v>
      </c>
      <c r="K421" s="29" t="s">
        <v>61</v>
      </c>
      <c r="Z421" s="28">
        <f>IF(AQ421="5",BJ421,0)</f>
        <v>0</v>
      </c>
      <c r="AB421" s="28">
        <f>IF(AQ421="1",BH421,0)</f>
        <v>0</v>
      </c>
      <c r="AC421" s="28">
        <f>IF(AQ421="1",BI421,0)</f>
        <v>0</v>
      </c>
      <c r="AD421" s="28">
        <f>IF(AQ421="7",BH421,0)</f>
        <v>0</v>
      </c>
      <c r="AE421" s="28">
        <f>IF(AQ421="7",BI421,0)</f>
        <v>0</v>
      </c>
      <c r="AF421" s="28">
        <f>IF(AQ421="2",BH421,0)</f>
        <v>0</v>
      </c>
      <c r="AG421" s="28">
        <f>IF(AQ421="2",BI421,0)</f>
        <v>0</v>
      </c>
      <c r="AH421" s="28">
        <f>IF(AQ421="0",BJ421,0)</f>
        <v>0</v>
      </c>
      <c r="AI421" s="10" t="s">
        <v>236</v>
      </c>
      <c r="AJ421" s="28">
        <f>IF(AN421=0,J421,0)</f>
        <v>0</v>
      </c>
      <c r="AK421" s="28">
        <f>IF(AN421=12,J421,0)</f>
        <v>0</v>
      </c>
      <c r="AL421" s="28">
        <f>IF(AN421=21,J421,0)</f>
        <v>0</v>
      </c>
      <c r="AN421" s="28">
        <v>21</v>
      </c>
      <c r="AO421" s="28">
        <f>G421*0.081081084</f>
        <v>0</v>
      </c>
      <c r="AP421" s="28">
        <f>G421*(1-0.081081084)</f>
        <v>0</v>
      </c>
      <c r="AQ421" s="30" t="s">
        <v>98</v>
      </c>
      <c r="AV421" s="28">
        <f>AW421+AX421</f>
        <v>0</v>
      </c>
      <c r="AW421" s="28">
        <f>F421*AO421</f>
        <v>0</v>
      </c>
      <c r="AX421" s="28">
        <f>F421*AP421</f>
        <v>0</v>
      </c>
      <c r="AY421" s="30" t="s">
        <v>776</v>
      </c>
      <c r="AZ421" s="30" t="s">
        <v>777</v>
      </c>
      <c r="BA421" s="10" t="s">
        <v>242</v>
      </c>
      <c r="BC421" s="28">
        <f>AW421+AX421</f>
        <v>0</v>
      </c>
      <c r="BD421" s="28">
        <f>G421/(100-BE421)*100</f>
        <v>0</v>
      </c>
      <c r="BE421" s="28">
        <v>0</v>
      </c>
      <c r="BF421" s="28">
        <f>421</f>
        <v>421</v>
      </c>
      <c r="BH421" s="28">
        <f>F421*AO421</f>
        <v>0</v>
      </c>
      <c r="BI421" s="28">
        <f>F421*AP421</f>
        <v>0</v>
      </c>
      <c r="BJ421" s="28">
        <f>F421*G421</f>
        <v>0</v>
      </c>
      <c r="BK421" s="28"/>
      <c r="BL421" s="28">
        <v>711</v>
      </c>
      <c r="BW421" s="28">
        <v>21</v>
      </c>
    </row>
    <row r="422" spans="1:75" ht="13.5" customHeight="1" x14ac:dyDescent="0.25">
      <c r="A422" s="2" t="s">
        <v>797</v>
      </c>
      <c r="B422" s="3" t="s">
        <v>798</v>
      </c>
      <c r="C422" s="83" t="s">
        <v>799</v>
      </c>
      <c r="D422" s="80"/>
      <c r="E422" s="3" t="s">
        <v>148</v>
      </c>
      <c r="F422" s="28">
        <v>80.325000000000003</v>
      </c>
      <c r="G422" s="28">
        <v>0</v>
      </c>
      <c r="H422" s="28">
        <f>F422*AO422</f>
        <v>0</v>
      </c>
      <c r="I422" s="28">
        <f>F422*AP422</f>
        <v>0</v>
      </c>
      <c r="J422" s="28">
        <f>F422*G422</f>
        <v>0</v>
      </c>
      <c r="K422" s="29" t="s">
        <v>61</v>
      </c>
      <c r="Z422" s="28">
        <f>IF(AQ422="5",BJ422,0)</f>
        <v>0</v>
      </c>
      <c r="AB422" s="28">
        <f>IF(AQ422="1",BH422,0)</f>
        <v>0</v>
      </c>
      <c r="AC422" s="28">
        <f>IF(AQ422="1",BI422,0)</f>
        <v>0</v>
      </c>
      <c r="AD422" s="28">
        <f>IF(AQ422="7",BH422,0)</f>
        <v>0</v>
      </c>
      <c r="AE422" s="28">
        <f>IF(AQ422="7",BI422,0)</f>
        <v>0</v>
      </c>
      <c r="AF422" s="28">
        <f>IF(AQ422="2",BH422,0)</f>
        <v>0</v>
      </c>
      <c r="AG422" s="28">
        <f>IF(AQ422="2",BI422,0)</f>
        <v>0</v>
      </c>
      <c r="AH422" s="28">
        <f>IF(AQ422="0",BJ422,0)</f>
        <v>0</v>
      </c>
      <c r="AI422" s="10" t="s">
        <v>236</v>
      </c>
      <c r="AJ422" s="28">
        <f>IF(AN422=0,J422,0)</f>
        <v>0</v>
      </c>
      <c r="AK422" s="28">
        <f>IF(AN422=12,J422,0)</f>
        <v>0</v>
      </c>
      <c r="AL422" s="28">
        <f>IF(AN422=21,J422,0)</f>
        <v>0</v>
      </c>
      <c r="AN422" s="28">
        <v>21</v>
      </c>
      <c r="AO422" s="28">
        <f>G422*0.101045711</f>
        <v>0</v>
      </c>
      <c r="AP422" s="28">
        <f>G422*(1-0.101045711)</f>
        <v>0</v>
      </c>
      <c r="AQ422" s="30" t="s">
        <v>98</v>
      </c>
      <c r="AV422" s="28">
        <f>AW422+AX422</f>
        <v>0</v>
      </c>
      <c r="AW422" s="28">
        <f>F422*AO422</f>
        <v>0</v>
      </c>
      <c r="AX422" s="28">
        <f>F422*AP422</f>
        <v>0</v>
      </c>
      <c r="AY422" s="30" t="s">
        <v>776</v>
      </c>
      <c r="AZ422" s="30" t="s">
        <v>777</v>
      </c>
      <c r="BA422" s="10" t="s">
        <v>242</v>
      </c>
      <c r="BC422" s="28">
        <f>AW422+AX422</f>
        <v>0</v>
      </c>
      <c r="BD422" s="28">
        <f>G422/(100-BE422)*100</f>
        <v>0</v>
      </c>
      <c r="BE422" s="28">
        <v>0</v>
      </c>
      <c r="BF422" s="28">
        <f>422</f>
        <v>422</v>
      </c>
      <c r="BH422" s="28">
        <f>F422*AO422</f>
        <v>0</v>
      </c>
      <c r="BI422" s="28">
        <f>F422*AP422</f>
        <v>0</v>
      </c>
      <c r="BJ422" s="28">
        <f>F422*G422</f>
        <v>0</v>
      </c>
      <c r="BK422" s="28"/>
      <c r="BL422" s="28">
        <v>711</v>
      </c>
      <c r="BW422" s="28">
        <v>21</v>
      </c>
    </row>
    <row r="423" spans="1:75" x14ac:dyDescent="0.25">
      <c r="A423" s="31"/>
      <c r="C423" s="32" t="s">
        <v>800</v>
      </c>
      <c r="D423" s="32" t="s">
        <v>52</v>
      </c>
      <c r="F423" s="33">
        <v>80.325000000000003</v>
      </c>
      <c r="K423" s="34"/>
    </row>
    <row r="424" spans="1:75" ht="13.5" customHeight="1" x14ac:dyDescent="0.25">
      <c r="A424" s="2" t="s">
        <v>801</v>
      </c>
      <c r="B424" s="3" t="s">
        <v>802</v>
      </c>
      <c r="C424" s="83" t="s">
        <v>803</v>
      </c>
      <c r="D424" s="80"/>
      <c r="E424" s="3" t="s">
        <v>148</v>
      </c>
      <c r="F424" s="28">
        <v>586.95000000000005</v>
      </c>
      <c r="G424" s="28">
        <v>0</v>
      </c>
      <c r="H424" s="28">
        <f>F424*AO424</f>
        <v>0</v>
      </c>
      <c r="I424" s="28">
        <f>F424*AP424</f>
        <v>0</v>
      </c>
      <c r="J424" s="28">
        <f>F424*G424</f>
        <v>0</v>
      </c>
      <c r="K424" s="29" t="s">
        <v>61</v>
      </c>
      <c r="Z424" s="28">
        <f>IF(AQ424="5",BJ424,0)</f>
        <v>0</v>
      </c>
      <c r="AB424" s="28">
        <f>IF(AQ424="1",BH424,0)</f>
        <v>0</v>
      </c>
      <c r="AC424" s="28">
        <f>IF(AQ424="1",BI424,0)</f>
        <v>0</v>
      </c>
      <c r="AD424" s="28">
        <f>IF(AQ424="7",BH424,0)</f>
        <v>0</v>
      </c>
      <c r="AE424" s="28">
        <f>IF(AQ424="7",BI424,0)</f>
        <v>0</v>
      </c>
      <c r="AF424" s="28">
        <f>IF(AQ424="2",BH424,0)</f>
        <v>0</v>
      </c>
      <c r="AG424" s="28">
        <f>IF(AQ424="2",BI424,0)</f>
        <v>0</v>
      </c>
      <c r="AH424" s="28">
        <f>IF(AQ424="0",BJ424,0)</f>
        <v>0</v>
      </c>
      <c r="AI424" s="10" t="s">
        <v>236</v>
      </c>
      <c r="AJ424" s="28">
        <f>IF(AN424=0,J424,0)</f>
        <v>0</v>
      </c>
      <c r="AK424" s="28">
        <f>IF(AN424=12,J424,0)</f>
        <v>0</v>
      </c>
      <c r="AL424" s="28">
        <f>IF(AN424=21,J424,0)</f>
        <v>0</v>
      </c>
      <c r="AN424" s="28">
        <v>21</v>
      </c>
      <c r="AO424" s="28">
        <f>G424*1</f>
        <v>0</v>
      </c>
      <c r="AP424" s="28">
        <f>G424*(1-1)</f>
        <v>0</v>
      </c>
      <c r="AQ424" s="30" t="s">
        <v>98</v>
      </c>
      <c r="AV424" s="28">
        <f>AW424+AX424</f>
        <v>0</v>
      </c>
      <c r="AW424" s="28">
        <f>F424*AO424</f>
        <v>0</v>
      </c>
      <c r="AX424" s="28">
        <f>F424*AP424</f>
        <v>0</v>
      </c>
      <c r="AY424" s="30" t="s">
        <v>776</v>
      </c>
      <c r="AZ424" s="30" t="s">
        <v>777</v>
      </c>
      <c r="BA424" s="10" t="s">
        <v>242</v>
      </c>
      <c r="BC424" s="28">
        <f>AW424+AX424</f>
        <v>0</v>
      </c>
      <c r="BD424" s="28">
        <f>G424/(100-BE424)*100</f>
        <v>0</v>
      </c>
      <c r="BE424" s="28">
        <v>0</v>
      </c>
      <c r="BF424" s="28">
        <f>424</f>
        <v>424</v>
      </c>
      <c r="BH424" s="28">
        <f>F424*AO424</f>
        <v>0</v>
      </c>
      <c r="BI424" s="28">
        <f>F424*AP424</f>
        <v>0</v>
      </c>
      <c r="BJ424" s="28">
        <f>F424*G424</f>
        <v>0</v>
      </c>
      <c r="BK424" s="28"/>
      <c r="BL424" s="28">
        <v>711</v>
      </c>
      <c r="BW424" s="28">
        <v>21</v>
      </c>
    </row>
    <row r="425" spans="1:75" x14ac:dyDescent="0.25">
      <c r="A425" s="31"/>
      <c r="C425" s="32" t="s">
        <v>804</v>
      </c>
      <c r="D425" s="32" t="s">
        <v>52</v>
      </c>
      <c r="F425" s="33">
        <v>478.67500000000001</v>
      </c>
      <c r="K425" s="34"/>
    </row>
    <row r="426" spans="1:75" x14ac:dyDescent="0.25">
      <c r="A426" s="31"/>
      <c r="C426" s="32" t="s">
        <v>800</v>
      </c>
      <c r="D426" s="32" t="s">
        <v>52</v>
      </c>
      <c r="F426" s="33">
        <v>80.325000000000003</v>
      </c>
      <c r="K426" s="34"/>
    </row>
    <row r="427" spans="1:75" x14ac:dyDescent="0.25">
      <c r="A427" s="31"/>
      <c r="C427" s="32" t="s">
        <v>805</v>
      </c>
      <c r="D427" s="32" t="s">
        <v>52</v>
      </c>
      <c r="F427" s="33">
        <v>27.95</v>
      </c>
      <c r="K427" s="34"/>
    </row>
    <row r="428" spans="1:75" ht="27" customHeight="1" x14ac:dyDescent="0.25">
      <c r="A428" s="2" t="s">
        <v>806</v>
      </c>
      <c r="B428" s="3" t="s">
        <v>807</v>
      </c>
      <c r="C428" s="83" t="s">
        <v>808</v>
      </c>
      <c r="D428" s="80"/>
      <c r="E428" s="3" t="s">
        <v>148</v>
      </c>
      <c r="F428" s="28">
        <v>9.6</v>
      </c>
      <c r="G428" s="28">
        <v>0</v>
      </c>
      <c r="H428" s="28">
        <f>F428*AO428</f>
        <v>0</v>
      </c>
      <c r="I428" s="28">
        <f>F428*AP428</f>
        <v>0</v>
      </c>
      <c r="J428" s="28">
        <f>F428*G428</f>
        <v>0</v>
      </c>
      <c r="K428" s="29" t="s">
        <v>61</v>
      </c>
      <c r="Z428" s="28">
        <f>IF(AQ428="5",BJ428,0)</f>
        <v>0</v>
      </c>
      <c r="AB428" s="28">
        <f>IF(AQ428="1",BH428,0)</f>
        <v>0</v>
      </c>
      <c r="AC428" s="28">
        <f>IF(AQ428="1",BI428,0)</f>
        <v>0</v>
      </c>
      <c r="AD428" s="28">
        <f>IF(AQ428="7",BH428,0)</f>
        <v>0</v>
      </c>
      <c r="AE428" s="28">
        <f>IF(AQ428="7",BI428,0)</f>
        <v>0</v>
      </c>
      <c r="AF428" s="28">
        <f>IF(AQ428="2",BH428,0)</f>
        <v>0</v>
      </c>
      <c r="AG428" s="28">
        <f>IF(AQ428="2",BI428,0)</f>
        <v>0</v>
      </c>
      <c r="AH428" s="28">
        <f>IF(AQ428="0",BJ428,0)</f>
        <v>0</v>
      </c>
      <c r="AI428" s="10" t="s">
        <v>236</v>
      </c>
      <c r="AJ428" s="28">
        <f>IF(AN428=0,J428,0)</f>
        <v>0</v>
      </c>
      <c r="AK428" s="28">
        <f>IF(AN428=12,J428,0)</f>
        <v>0</v>
      </c>
      <c r="AL428" s="28">
        <f>IF(AN428=21,J428,0)</f>
        <v>0</v>
      </c>
      <c r="AN428" s="28">
        <v>21</v>
      </c>
      <c r="AO428" s="28">
        <f>G428*0.047641509</f>
        <v>0</v>
      </c>
      <c r="AP428" s="28">
        <f>G428*(1-0.047641509)</f>
        <v>0</v>
      </c>
      <c r="AQ428" s="30" t="s">
        <v>98</v>
      </c>
      <c r="AV428" s="28">
        <f>AW428+AX428</f>
        <v>0</v>
      </c>
      <c r="AW428" s="28">
        <f>F428*AO428</f>
        <v>0</v>
      </c>
      <c r="AX428" s="28">
        <f>F428*AP428</f>
        <v>0</v>
      </c>
      <c r="AY428" s="30" t="s">
        <v>776</v>
      </c>
      <c r="AZ428" s="30" t="s">
        <v>777</v>
      </c>
      <c r="BA428" s="10" t="s">
        <v>242</v>
      </c>
      <c r="BC428" s="28">
        <f>AW428+AX428</f>
        <v>0</v>
      </c>
      <c r="BD428" s="28">
        <f>G428/(100-BE428)*100</f>
        <v>0</v>
      </c>
      <c r="BE428" s="28">
        <v>0</v>
      </c>
      <c r="BF428" s="28">
        <f>428</f>
        <v>428</v>
      </c>
      <c r="BH428" s="28">
        <f>F428*AO428</f>
        <v>0</v>
      </c>
      <c r="BI428" s="28">
        <f>F428*AP428</f>
        <v>0</v>
      </c>
      <c r="BJ428" s="28">
        <f>F428*G428</f>
        <v>0</v>
      </c>
      <c r="BK428" s="28"/>
      <c r="BL428" s="28">
        <v>711</v>
      </c>
      <c r="BW428" s="28">
        <v>21</v>
      </c>
    </row>
    <row r="429" spans="1:75" x14ac:dyDescent="0.25">
      <c r="A429" s="31"/>
      <c r="C429" s="32" t="s">
        <v>809</v>
      </c>
      <c r="D429" s="32" t="s">
        <v>810</v>
      </c>
      <c r="F429" s="33">
        <v>9.6</v>
      </c>
      <c r="K429" s="34"/>
    </row>
    <row r="430" spans="1:75" ht="27" customHeight="1" x14ac:dyDescent="0.25">
      <c r="A430" s="2" t="s">
        <v>811</v>
      </c>
      <c r="B430" s="3" t="s">
        <v>812</v>
      </c>
      <c r="C430" s="83" t="s">
        <v>813</v>
      </c>
      <c r="D430" s="80"/>
      <c r="E430" s="3" t="s">
        <v>148</v>
      </c>
      <c r="F430" s="28">
        <v>38.4</v>
      </c>
      <c r="G430" s="28">
        <v>0</v>
      </c>
      <c r="H430" s="28">
        <f>F430*AO430</f>
        <v>0</v>
      </c>
      <c r="I430" s="28">
        <f>F430*AP430</f>
        <v>0</v>
      </c>
      <c r="J430" s="28">
        <f>F430*G430</f>
        <v>0</v>
      </c>
      <c r="K430" s="29" t="s">
        <v>61</v>
      </c>
      <c r="Z430" s="28">
        <f>IF(AQ430="5",BJ430,0)</f>
        <v>0</v>
      </c>
      <c r="AB430" s="28">
        <f>IF(AQ430="1",BH430,0)</f>
        <v>0</v>
      </c>
      <c r="AC430" s="28">
        <f>IF(AQ430="1",BI430,0)</f>
        <v>0</v>
      </c>
      <c r="AD430" s="28">
        <f>IF(AQ430="7",BH430,0)</f>
        <v>0</v>
      </c>
      <c r="AE430" s="28">
        <f>IF(AQ430="7",BI430,0)</f>
        <v>0</v>
      </c>
      <c r="AF430" s="28">
        <f>IF(AQ430="2",BH430,0)</f>
        <v>0</v>
      </c>
      <c r="AG430" s="28">
        <f>IF(AQ430="2",BI430,0)</f>
        <v>0</v>
      </c>
      <c r="AH430" s="28">
        <f>IF(AQ430="0",BJ430,0)</f>
        <v>0</v>
      </c>
      <c r="AI430" s="10" t="s">
        <v>236</v>
      </c>
      <c r="AJ430" s="28">
        <f>IF(AN430=0,J430,0)</f>
        <v>0</v>
      </c>
      <c r="AK430" s="28">
        <f>IF(AN430=12,J430,0)</f>
        <v>0</v>
      </c>
      <c r="AL430" s="28">
        <f>IF(AN430=21,J430,0)</f>
        <v>0</v>
      </c>
      <c r="AN430" s="28">
        <v>21</v>
      </c>
      <c r="AO430" s="28">
        <f>G430*0.166485014</f>
        <v>0</v>
      </c>
      <c r="AP430" s="28">
        <f>G430*(1-0.166485014)</f>
        <v>0</v>
      </c>
      <c r="AQ430" s="30" t="s">
        <v>98</v>
      </c>
      <c r="AV430" s="28">
        <f>AW430+AX430</f>
        <v>0</v>
      </c>
      <c r="AW430" s="28">
        <f>F430*AO430</f>
        <v>0</v>
      </c>
      <c r="AX430" s="28">
        <f>F430*AP430</f>
        <v>0</v>
      </c>
      <c r="AY430" s="30" t="s">
        <v>776</v>
      </c>
      <c r="AZ430" s="30" t="s">
        <v>777</v>
      </c>
      <c r="BA430" s="10" t="s">
        <v>242</v>
      </c>
      <c r="BC430" s="28">
        <f>AW430+AX430</f>
        <v>0</v>
      </c>
      <c r="BD430" s="28">
        <f>G430/(100-BE430)*100</f>
        <v>0</v>
      </c>
      <c r="BE430" s="28">
        <v>0</v>
      </c>
      <c r="BF430" s="28">
        <f>430</f>
        <v>430</v>
      </c>
      <c r="BH430" s="28">
        <f>F430*AO430</f>
        <v>0</v>
      </c>
      <c r="BI430" s="28">
        <f>F430*AP430</f>
        <v>0</v>
      </c>
      <c r="BJ430" s="28">
        <f>F430*G430</f>
        <v>0</v>
      </c>
      <c r="BK430" s="28"/>
      <c r="BL430" s="28">
        <v>711</v>
      </c>
      <c r="BW430" s="28">
        <v>21</v>
      </c>
    </row>
    <row r="431" spans="1:75" x14ac:dyDescent="0.25">
      <c r="A431" s="31"/>
      <c r="C431" s="32" t="s">
        <v>814</v>
      </c>
      <c r="D431" s="32" t="s">
        <v>815</v>
      </c>
      <c r="F431" s="33">
        <v>19.2</v>
      </c>
      <c r="K431" s="34"/>
    </row>
    <row r="432" spans="1:75" x14ac:dyDescent="0.25">
      <c r="A432" s="31"/>
      <c r="C432" s="32" t="s">
        <v>814</v>
      </c>
      <c r="D432" s="32" t="s">
        <v>815</v>
      </c>
      <c r="F432" s="33">
        <v>19.2</v>
      </c>
      <c r="K432" s="34"/>
    </row>
    <row r="433" spans="1:75" ht="13.5" customHeight="1" x14ac:dyDescent="0.25">
      <c r="A433" s="2" t="s">
        <v>816</v>
      </c>
      <c r="B433" s="3" t="s">
        <v>817</v>
      </c>
      <c r="C433" s="83" t="s">
        <v>818</v>
      </c>
      <c r="D433" s="80"/>
      <c r="E433" s="3" t="s">
        <v>137</v>
      </c>
      <c r="F433" s="28">
        <v>20</v>
      </c>
      <c r="G433" s="28">
        <v>0</v>
      </c>
      <c r="H433" s="28">
        <f>F433*AO433</f>
        <v>0</v>
      </c>
      <c r="I433" s="28">
        <f>F433*AP433</f>
        <v>0</v>
      </c>
      <c r="J433" s="28">
        <f>F433*G433</f>
        <v>0</v>
      </c>
      <c r="K433" s="29" t="s">
        <v>61</v>
      </c>
      <c r="Z433" s="28">
        <f>IF(AQ433="5",BJ433,0)</f>
        <v>0</v>
      </c>
      <c r="AB433" s="28">
        <f>IF(AQ433="1",BH433,0)</f>
        <v>0</v>
      </c>
      <c r="AC433" s="28">
        <f>IF(AQ433="1",BI433,0)</f>
        <v>0</v>
      </c>
      <c r="AD433" s="28">
        <f>IF(AQ433="7",BH433,0)</f>
        <v>0</v>
      </c>
      <c r="AE433" s="28">
        <f>IF(AQ433="7",BI433,0)</f>
        <v>0</v>
      </c>
      <c r="AF433" s="28">
        <f>IF(AQ433="2",BH433,0)</f>
        <v>0</v>
      </c>
      <c r="AG433" s="28">
        <f>IF(AQ433="2",BI433,0)</f>
        <v>0</v>
      </c>
      <c r="AH433" s="28">
        <f>IF(AQ433="0",BJ433,0)</f>
        <v>0</v>
      </c>
      <c r="AI433" s="10" t="s">
        <v>236</v>
      </c>
      <c r="AJ433" s="28">
        <f>IF(AN433=0,J433,0)</f>
        <v>0</v>
      </c>
      <c r="AK433" s="28">
        <f>IF(AN433=12,J433,0)</f>
        <v>0</v>
      </c>
      <c r="AL433" s="28">
        <f>IF(AN433=21,J433,0)</f>
        <v>0</v>
      </c>
      <c r="AN433" s="28">
        <v>21</v>
      </c>
      <c r="AO433" s="28">
        <f>G433*1</f>
        <v>0</v>
      </c>
      <c r="AP433" s="28">
        <f>G433*(1-1)</f>
        <v>0</v>
      </c>
      <c r="AQ433" s="30" t="s">
        <v>98</v>
      </c>
      <c r="AV433" s="28">
        <f>AW433+AX433</f>
        <v>0</v>
      </c>
      <c r="AW433" s="28">
        <f>F433*AO433</f>
        <v>0</v>
      </c>
      <c r="AX433" s="28">
        <f>F433*AP433</f>
        <v>0</v>
      </c>
      <c r="AY433" s="30" t="s">
        <v>776</v>
      </c>
      <c r="AZ433" s="30" t="s">
        <v>777</v>
      </c>
      <c r="BA433" s="10" t="s">
        <v>242</v>
      </c>
      <c r="BC433" s="28">
        <f>AW433+AX433</f>
        <v>0</v>
      </c>
      <c r="BD433" s="28">
        <f>G433/(100-BE433)*100</f>
        <v>0</v>
      </c>
      <c r="BE433" s="28">
        <v>0</v>
      </c>
      <c r="BF433" s="28">
        <f>433</f>
        <v>433</v>
      </c>
      <c r="BH433" s="28">
        <f>F433*AO433</f>
        <v>0</v>
      </c>
      <c r="BI433" s="28">
        <f>F433*AP433</f>
        <v>0</v>
      </c>
      <c r="BJ433" s="28">
        <f>F433*G433</f>
        <v>0</v>
      </c>
      <c r="BK433" s="28"/>
      <c r="BL433" s="28">
        <v>711</v>
      </c>
      <c r="BW433" s="28">
        <v>21</v>
      </c>
    </row>
    <row r="434" spans="1:75" x14ac:dyDescent="0.25">
      <c r="A434" s="31"/>
      <c r="C434" s="32" t="s">
        <v>169</v>
      </c>
      <c r="D434" s="32" t="s">
        <v>819</v>
      </c>
      <c r="F434" s="33">
        <v>20</v>
      </c>
      <c r="K434" s="34"/>
    </row>
    <row r="435" spans="1:75" x14ac:dyDescent="0.25">
      <c r="A435" s="31"/>
      <c r="C435" s="32" t="s">
        <v>52</v>
      </c>
      <c r="D435" s="32" t="s">
        <v>820</v>
      </c>
      <c r="F435" s="33">
        <v>0</v>
      </c>
      <c r="K435" s="34"/>
    </row>
    <row r="436" spans="1:75" ht="13.5" customHeight="1" x14ac:dyDescent="0.25">
      <c r="A436" s="2" t="s">
        <v>821</v>
      </c>
      <c r="B436" s="3" t="s">
        <v>822</v>
      </c>
      <c r="C436" s="83" t="s">
        <v>823</v>
      </c>
      <c r="D436" s="80"/>
      <c r="E436" s="3" t="s">
        <v>71</v>
      </c>
      <c r="F436" s="28">
        <v>3.2720199999999999</v>
      </c>
      <c r="G436" s="28">
        <v>0</v>
      </c>
      <c r="H436" s="28">
        <f>F436*AO436</f>
        <v>0</v>
      </c>
      <c r="I436" s="28">
        <f>F436*AP436</f>
        <v>0</v>
      </c>
      <c r="J436" s="28">
        <f>F436*G436</f>
        <v>0</v>
      </c>
      <c r="K436" s="29" t="s">
        <v>61</v>
      </c>
      <c r="Z436" s="28">
        <f>IF(AQ436="5",BJ436,0)</f>
        <v>0</v>
      </c>
      <c r="AB436" s="28">
        <f>IF(AQ436="1",BH436,0)</f>
        <v>0</v>
      </c>
      <c r="AC436" s="28">
        <f>IF(AQ436="1",BI436,0)</f>
        <v>0</v>
      </c>
      <c r="AD436" s="28">
        <f>IF(AQ436="7",BH436,0)</f>
        <v>0</v>
      </c>
      <c r="AE436" s="28">
        <f>IF(AQ436="7",BI436,0)</f>
        <v>0</v>
      </c>
      <c r="AF436" s="28">
        <f>IF(AQ436="2",BH436,0)</f>
        <v>0</v>
      </c>
      <c r="AG436" s="28">
        <f>IF(AQ436="2",BI436,0)</f>
        <v>0</v>
      </c>
      <c r="AH436" s="28">
        <f>IF(AQ436="0",BJ436,0)</f>
        <v>0</v>
      </c>
      <c r="AI436" s="10" t="s">
        <v>236</v>
      </c>
      <c r="AJ436" s="28">
        <f>IF(AN436=0,J436,0)</f>
        <v>0</v>
      </c>
      <c r="AK436" s="28">
        <f>IF(AN436=12,J436,0)</f>
        <v>0</v>
      </c>
      <c r="AL436" s="28">
        <f>IF(AN436=21,J436,0)</f>
        <v>0</v>
      </c>
      <c r="AN436" s="28">
        <v>21</v>
      </c>
      <c r="AO436" s="28">
        <f>G436*0</f>
        <v>0</v>
      </c>
      <c r="AP436" s="28">
        <f>G436*(1-0)</f>
        <v>0</v>
      </c>
      <c r="AQ436" s="30" t="s">
        <v>87</v>
      </c>
      <c r="AV436" s="28">
        <f>AW436+AX436</f>
        <v>0</v>
      </c>
      <c r="AW436" s="28">
        <f>F436*AO436</f>
        <v>0</v>
      </c>
      <c r="AX436" s="28">
        <f>F436*AP436</f>
        <v>0</v>
      </c>
      <c r="AY436" s="30" t="s">
        <v>776</v>
      </c>
      <c r="AZ436" s="30" t="s">
        <v>777</v>
      </c>
      <c r="BA436" s="10" t="s">
        <v>242</v>
      </c>
      <c r="BC436" s="28">
        <f>AW436+AX436</f>
        <v>0</v>
      </c>
      <c r="BD436" s="28">
        <f>G436/(100-BE436)*100</f>
        <v>0</v>
      </c>
      <c r="BE436" s="28">
        <v>0</v>
      </c>
      <c r="BF436" s="28">
        <f>436</f>
        <v>436</v>
      </c>
      <c r="BH436" s="28">
        <f>F436*AO436</f>
        <v>0</v>
      </c>
      <c r="BI436" s="28">
        <f>F436*AP436</f>
        <v>0</v>
      </c>
      <c r="BJ436" s="28">
        <f>F436*G436</f>
        <v>0</v>
      </c>
      <c r="BK436" s="28"/>
      <c r="BL436" s="28">
        <v>711</v>
      </c>
      <c r="BW436" s="28">
        <v>21</v>
      </c>
    </row>
    <row r="437" spans="1:75" x14ac:dyDescent="0.25">
      <c r="A437" s="24" t="s">
        <v>52</v>
      </c>
      <c r="B437" s="25" t="s">
        <v>824</v>
      </c>
      <c r="C437" s="139" t="s">
        <v>825</v>
      </c>
      <c r="D437" s="140"/>
      <c r="E437" s="26" t="s">
        <v>4</v>
      </c>
      <c r="F437" s="26" t="s">
        <v>4</v>
      </c>
      <c r="G437" s="26" t="s">
        <v>4</v>
      </c>
      <c r="H437" s="1">
        <f>SUM(H438:H464)</f>
        <v>0</v>
      </c>
      <c r="I437" s="1">
        <f>SUM(I438:I464)</f>
        <v>0</v>
      </c>
      <c r="J437" s="1">
        <f>SUM(J438:J464)</f>
        <v>0</v>
      </c>
      <c r="K437" s="27" t="s">
        <v>52</v>
      </c>
      <c r="AI437" s="10" t="s">
        <v>236</v>
      </c>
      <c r="AS437" s="1">
        <f>SUM(AJ438:AJ464)</f>
        <v>0</v>
      </c>
      <c r="AT437" s="1">
        <f>SUM(AK438:AK464)</f>
        <v>0</v>
      </c>
      <c r="AU437" s="1">
        <f>SUM(AL438:AL464)</f>
        <v>0</v>
      </c>
    </row>
    <row r="438" spans="1:75" ht="13.5" customHeight="1" x14ac:dyDescent="0.25">
      <c r="A438" s="2" t="s">
        <v>826</v>
      </c>
      <c r="B438" s="3" t="s">
        <v>827</v>
      </c>
      <c r="C438" s="83" t="s">
        <v>828</v>
      </c>
      <c r="D438" s="80"/>
      <c r="E438" s="3" t="s">
        <v>148</v>
      </c>
      <c r="F438" s="28">
        <v>4.3</v>
      </c>
      <c r="G438" s="28">
        <v>0</v>
      </c>
      <c r="H438" s="28">
        <f>F438*AO438</f>
        <v>0</v>
      </c>
      <c r="I438" s="28">
        <f>F438*AP438</f>
        <v>0</v>
      </c>
      <c r="J438" s="28">
        <f>F438*G438</f>
        <v>0</v>
      </c>
      <c r="K438" s="29" t="s">
        <v>61</v>
      </c>
      <c r="Z438" s="28">
        <f>IF(AQ438="5",BJ438,0)</f>
        <v>0</v>
      </c>
      <c r="AB438" s="28">
        <f>IF(AQ438="1",BH438,0)</f>
        <v>0</v>
      </c>
      <c r="AC438" s="28">
        <f>IF(AQ438="1",BI438,0)</f>
        <v>0</v>
      </c>
      <c r="AD438" s="28">
        <f>IF(AQ438="7",BH438,0)</f>
        <v>0</v>
      </c>
      <c r="AE438" s="28">
        <f>IF(AQ438="7",BI438,0)</f>
        <v>0</v>
      </c>
      <c r="AF438" s="28">
        <f>IF(AQ438="2",BH438,0)</f>
        <v>0</v>
      </c>
      <c r="AG438" s="28">
        <f>IF(AQ438="2",BI438,0)</f>
        <v>0</v>
      </c>
      <c r="AH438" s="28">
        <f>IF(AQ438="0",BJ438,0)</f>
        <v>0</v>
      </c>
      <c r="AI438" s="10" t="s">
        <v>236</v>
      </c>
      <c r="AJ438" s="28">
        <f>IF(AN438=0,J438,0)</f>
        <v>0</v>
      </c>
      <c r="AK438" s="28">
        <f>IF(AN438=12,J438,0)</f>
        <v>0</v>
      </c>
      <c r="AL438" s="28">
        <f>IF(AN438=21,J438,0)</f>
        <v>0</v>
      </c>
      <c r="AN438" s="28">
        <v>21</v>
      </c>
      <c r="AO438" s="28">
        <f>G438*0.170868167</f>
        <v>0</v>
      </c>
      <c r="AP438" s="28">
        <f>G438*(1-0.170868167)</f>
        <v>0</v>
      </c>
      <c r="AQ438" s="30" t="s">
        <v>98</v>
      </c>
      <c r="AV438" s="28">
        <f>AW438+AX438</f>
        <v>0</v>
      </c>
      <c r="AW438" s="28">
        <f>F438*AO438</f>
        <v>0</v>
      </c>
      <c r="AX438" s="28">
        <f>F438*AP438</f>
        <v>0</v>
      </c>
      <c r="AY438" s="30" t="s">
        <v>829</v>
      </c>
      <c r="AZ438" s="30" t="s">
        <v>777</v>
      </c>
      <c r="BA438" s="10" t="s">
        <v>242</v>
      </c>
      <c r="BC438" s="28">
        <f>AW438+AX438</f>
        <v>0</v>
      </c>
      <c r="BD438" s="28">
        <f>G438/(100-BE438)*100</f>
        <v>0</v>
      </c>
      <c r="BE438" s="28">
        <v>0</v>
      </c>
      <c r="BF438" s="28">
        <f>438</f>
        <v>438</v>
      </c>
      <c r="BH438" s="28">
        <f>F438*AO438</f>
        <v>0</v>
      </c>
      <c r="BI438" s="28">
        <f>F438*AP438</f>
        <v>0</v>
      </c>
      <c r="BJ438" s="28">
        <f>F438*G438</f>
        <v>0</v>
      </c>
      <c r="BK438" s="28"/>
      <c r="BL438" s="28">
        <v>713</v>
      </c>
      <c r="BW438" s="28">
        <v>21</v>
      </c>
    </row>
    <row r="439" spans="1:75" x14ac:dyDescent="0.25">
      <c r="A439" s="31"/>
      <c r="C439" s="32" t="s">
        <v>830</v>
      </c>
      <c r="D439" s="32" t="s">
        <v>831</v>
      </c>
      <c r="F439" s="33">
        <v>4.3</v>
      </c>
      <c r="K439" s="34"/>
    </row>
    <row r="440" spans="1:75" ht="13.5" customHeight="1" x14ac:dyDescent="0.25">
      <c r="A440" s="2" t="s">
        <v>832</v>
      </c>
      <c r="B440" s="3" t="s">
        <v>833</v>
      </c>
      <c r="C440" s="83" t="s">
        <v>834</v>
      </c>
      <c r="D440" s="80"/>
      <c r="E440" s="3" t="s">
        <v>148</v>
      </c>
      <c r="F440" s="28">
        <v>4.5149999999999997</v>
      </c>
      <c r="G440" s="28">
        <v>0</v>
      </c>
      <c r="H440" s="28">
        <f>F440*AO440</f>
        <v>0</v>
      </c>
      <c r="I440" s="28">
        <f>F440*AP440</f>
        <v>0</v>
      </c>
      <c r="J440" s="28">
        <f>F440*G440</f>
        <v>0</v>
      </c>
      <c r="K440" s="29" t="s">
        <v>61</v>
      </c>
      <c r="Z440" s="28">
        <f>IF(AQ440="5",BJ440,0)</f>
        <v>0</v>
      </c>
      <c r="AB440" s="28">
        <f>IF(AQ440="1",BH440,0)</f>
        <v>0</v>
      </c>
      <c r="AC440" s="28">
        <f>IF(AQ440="1",BI440,0)</f>
        <v>0</v>
      </c>
      <c r="AD440" s="28">
        <f>IF(AQ440="7",BH440,0)</f>
        <v>0</v>
      </c>
      <c r="AE440" s="28">
        <f>IF(AQ440="7",BI440,0)</f>
        <v>0</v>
      </c>
      <c r="AF440" s="28">
        <f>IF(AQ440="2",BH440,0)</f>
        <v>0</v>
      </c>
      <c r="AG440" s="28">
        <f>IF(AQ440="2",BI440,0)</f>
        <v>0</v>
      </c>
      <c r="AH440" s="28">
        <f>IF(AQ440="0",BJ440,0)</f>
        <v>0</v>
      </c>
      <c r="AI440" s="10" t="s">
        <v>236</v>
      </c>
      <c r="AJ440" s="28">
        <f>IF(AN440=0,J440,0)</f>
        <v>0</v>
      </c>
      <c r="AK440" s="28">
        <f>IF(AN440=12,J440,0)</f>
        <v>0</v>
      </c>
      <c r="AL440" s="28">
        <f>IF(AN440=21,J440,0)</f>
        <v>0</v>
      </c>
      <c r="AN440" s="28">
        <v>21</v>
      </c>
      <c r="AO440" s="28">
        <f>G440*1</f>
        <v>0</v>
      </c>
      <c r="AP440" s="28">
        <f>G440*(1-1)</f>
        <v>0</v>
      </c>
      <c r="AQ440" s="30" t="s">
        <v>98</v>
      </c>
      <c r="AV440" s="28">
        <f>AW440+AX440</f>
        <v>0</v>
      </c>
      <c r="AW440" s="28">
        <f>F440*AO440</f>
        <v>0</v>
      </c>
      <c r="AX440" s="28">
        <f>F440*AP440</f>
        <v>0</v>
      </c>
      <c r="AY440" s="30" t="s">
        <v>829</v>
      </c>
      <c r="AZ440" s="30" t="s">
        <v>777</v>
      </c>
      <c r="BA440" s="10" t="s">
        <v>242</v>
      </c>
      <c r="BC440" s="28">
        <f>AW440+AX440</f>
        <v>0</v>
      </c>
      <c r="BD440" s="28">
        <f>G440/(100-BE440)*100</f>
        <v>0</v>
      </c>
      <c r="BE440" s="28">
        <v>0</v>
      </c>
      <c r="BF440" s="28">
        <f>440</f>
        <v>440</v>
      </c>
      <c r="BH440" s="28">
        <f>F440*AO440</f>
        <v>0</v>
      </c>
      <c r="BI440" s="28">
        <f>F440*AP440</f>
        <v>0</v>
      </c>
      <c r="BJ440" s="28">
        <f>F440*G440</f>
        <v>0</v>
      </c>
      <c r="BK440" s="28"/>
      <c r="BL440" s="28">
        <v>713</v>
      </c>
      <c r="BW440" s="28">
        <v>21</v>
      </c>
    </row>
    <row r="441" spans="1:75" x14ac:dyDescent="0.25">
      <c r="A441" s="31"/>
      <c r="C441" s="32" t="s">
        <v>620</v>
      </c>
      <c r="D441" s="32" t="s">
        <v>52</v>
      </c>
      <c r="F441" s="33">
        <v>4.3</v>
      </c>
      <c r="K441" s="34"/>
    </row>
    <row r="442" spans="1:75" x14ac:dyDescent="0.25">
      <c r="A442" s="31"/>
      <c r="C442" s="32" t="s">
        <v>835</v>
      </c>
      <c r="D442" s="32" t="s">
        <v>52</v>
      </c>
      <c r="F442" s="33">
        <v>0.215</v>
      </c>
      <c r="K442" s="34"/>
    </row>
    <row r="443" spans="1:75" ht="13.5" customHeight="1" x14ac:dyDescent="0.25">
      <c r="A443" s="2" t="s">
        <v>836</v>
      </c>
      <c r="B443" s="3" t="s">
        <v>837</v>
      </c>
      <c r="C443" s="83" t="s">
        <v>838</v>
      </c>
      <c r="D443" s="80"/>
      <c r="E443" s="3" t="s">
        <v>148</v>
      </c>
      <c r="F443" s="28">
        <v>4.3</v>
      </c>
      <c r="G443" s="28">
        <v>0</v>
      </c>
      <c r="H443" s="28">
        <f>F443*AO443</f>
        <v>0</v>
      </c>
      <c r="I443" s="28">
        <f>F443*AP443</f>
        <v>0</v>
      </c>
      <c r="J443" s="28">
        <f>F443*G443</f>
        <v>0</v>
      </c>
      <c r="K443" s="29" t="s">
        <v>61</v>
      </c>
      <c r="Z443" s="28">
        <f>IF(AQ443="5",BJ443,0)</f>
        <v>0</v>
      </c>
      <c r="AB443" s="28">
        <f>IF(AQ443="1",BH443,0)</f>
        <v>0</v>
      </c>
      <c r="AC443" s="28">
        <f>IF(AQ443="1",BI443,0)</f>
        <v>0</v>
      </c>
      <c r="AD443" s="28">
        <f>IF(AQ443="7",BH443,0)</f>
        <v>0</v>
      </c>
      <c r="AE443" s="28">
        <f>IF(AQ443="7",BI443,0)</f>
        <v>0</v>
      </c>
      <c r="AF443" s="28">
        <f>IF(AQ443="2",BH443,0)</f>
        <v>0</v>
      </c>
      <c r="AG443" s="28">
        <f>IF(AQ443="2",BI443,0)</f>
        <v>0</v>
      </c>
      <c r="AH443" s="28">
        <f>IF(AQ443="0",BJ443,0)</f>
        <v>0</v>
      </c>
      <c r="AI443" s="10" t="s">
        <v>236</v>
      </c>
      <c r="AJ443" s="28">
        <f>IF(AN443=0,J443,0)</f>
        <v>0</v>
      </c>
      <c r="AK443" s="28">
        <f>IF(AN443=12,J443,0)</f>
        <v>0</v>
      </c>
      <c r="AL443" s="28">
        <f>IF(AN443=21,J443,0)</f>
        <v>0</v>
      </c>
      <c r="AN443" s="28">
        <v>21</v>
      </c>
      <c r="AO443" s="28">
        <f>G443*0.418451613</f>
        <v>0</v>
      </c>
      <c r="AP443" s="28">
        <f>G443*(1-0.418451613)</f>
        <v>0</v>
      </c>
      <c r="AQ443" s="30" t="s">
        <v>98</v>
      </c>
      <c r="AV443" s="28">
        <f>AW443+AX443</f>
        <v>0</v>
      </c>
      <c r="AW443" s="28">
        <f>F443*AO443</f>
        <v>0</v>
      </c>
      <c r="AX443" s="28">
        <f>F443*AP443</f>
        <v>0</v>
      </c>
      <c r="AY443" s="30" t="s">
        <v>829</v>
      </c>
      <c r="AZ443" s="30" t="s">
        <v>777</v>
      </c>
      <c r="BA443" s="10" t="s">
        <v>242</v>
      </c>
      <c r="BC443" s="28">
        <f>AW443+AX443</f>
        <v>0</v>
      </c>
      <c r="BD443" s="28">
        <f>G443/(100-BE443)*100</f>
        <v>0</v>
      </c>
      <c r="BE443" s="28">
        <v>0</v>
      </c>
      <c r="BF443" s="28">
        <f>443</f>
        <v>443</v>
      </c>
      <c r="BH443" s="28">
        <f>F443*AO443</f>
        <v>0</v>
      </c>
      <c r="BI443" s="28">
        <f>F443*AP443</f>
        <v>0</v>
      </c>
      <c r="BJ443" s="28">
        <f>F443*G443</f>
        <v>0</v>
      </c>
      <c r="BK443" s="28"/>
      <c r="BL443" s="28">
        <v>713</v>
      </c>
      <c r="BW443" s="28">
        <v>21</v>
      </c>
    </row>
    <row r="444" spans="1:75" x14ac:dyDescent="0.25">
      <c r="A444" s="31"/>
      <c r="C444" s="32" t="s">
        <v>620</v>
      </c>
      <c r="D444" s="32" t="s">
        <v>52</v>
      </c>
      <c r="F444" s="33">
        <v>4.3</v>
      </c>
      <c r="K444" s="34"/>
    </row>
    <row r="445" spans="1:75" ht="13.5" customHeight="1" x14ac:dyDescent="0.25">
      <c r="A445" s="2" t="s">
        <v>839</v>
      </c>
      <c r="B445" s="3" t="s">
        <v>840</v>
      </c>
      <c r="C445" s="83" t="s">
        <v>841</v>
      </c>
      <c r="D445" s="80"/>
      <c r="E445" s="3" t="s">
        <v>148</v>
      </c>
      <c r="F445" s="28">
        <v>237.125</v>
      </c>
      <c r="G445" s="28">
        <v>0</v>
      </c>
      <c r="H445" s="28">
        <f>F445*AO445</f>
        <v>0</v>
      </c>
      <c r="I445" s="28">
        <f>F445*AP445</f>
        <v>0</v>
      </c>
      <c r="J445" s="28">
        <f>F445*G445</f>
        <v>0</v>
      </c>
      <c r="K445" s="29" t="s">
        <v>61</v>
      </c>
      <c r="Z445" s="28">
        <f>IF(AQ445="5",BJ445,0)</f>
        <v>0</v>
      </c>
      <c r="AB445" s="28">
        <f>IF(AQ445="1",BH445,0)</f>
        <v>0</v>
      </c>
      <c r="AC445" s="28">
        <f>IF(AQ445="1",BI445,0)</f>
        <v>0</v>
      </c>
      <c r="AD445" s="28">
        <f>IF(AQ445="7",BH445,0)</f>
        <v>0</v>
      </c>
      <c r="AE445" s="28">
        <f>IF(AQ445="7",BI445,0)</f>
        <v>0</v>
      </c>
      <c r="AF445" s="28">
        <f>IF(AQ445="2",BH445,0)</f>
        <v>0</v>
      </c>
      <c r="AG445" s="28">
        <f>IF(AQ445="2",BI445,0)</f>
        <v>0</v>
      </c>
      <c r="AH445" s="28">
        <f>IF(AQ445="0",BJ445,0)</f>
        <v>0</v>
      </c>
      <c r="AI445" s="10" t="s">
        <v>236</v>
      </c>
      <c r="AJ445" s="28">
        <f>IF(AN445=0,J445,0)</f>
        <v>0</v>
      </c>
      <c r="AK445" s="28">
        <f>IF(AN445=12,J445,0)</f>
        <v>0</v>
      </c>
      <c r="AL445" s="28">
        <f>IF(AN445=21,J445,0)</f>
        <v>0</v>
      </c>
      <c r="AN445" s="28">
        <v>21</v>
      </c>
      <c r="AO445" s="28">
        <f>G445*0.438566275</f>
        <v>0</v>
      </c>
      <c r="AP445" s="28">
        <f>G445*(1-0.438566275)</f>
        <v>0</v>
      </c>
      <c r="AQ445" s="30" t="s">
        <v>98</v>
      </c>
      <c r="AV445" s="28">
        <f>AW445+AX445</f>
        <v>0</v>
      </c>
      <c r="AW445" s="28">
        <f>F445*AO445</f>
        <v>0</v>
      </c>
      <c r="AX445" s="28">
        <f>F445*AP445</f>
        <v>0</v>
      </c>
      <c r="AY445" s="30" t="s">
        <v>829</v>
      </c>
      <c r="AZ445" s="30" t="s">
        <v>777</v>
      </c>
      <c r="BA445" s="10" t="s">
        <v>242</v>
      </c>
      <c r="BC445" s="28">
        <f>AW445+AX445</f>
        <v>0</v>
      </c>
      <c r="BD445" s="28">
        <f>G445/(100-BE445)*100</f>
        <v>0</v>
      </c>
      <c r="BE445" s="28">
        <v>0</v>
      </c>
      <c r="BF445" s="28">
        <f>445</f>
        <v>445</v>
      </c>
      <c r="BH445" s="28">
        <f>F445*AO445</f>
        <v>0</v>
      </c>
      <c r="BI445" s="28">
        <f>F445*AP445</f>
        <v>0</v>
      </c>
      <c r="BJ445" s="28">
        <f>F445*G445</f>
        <v>0</v>
      </c>
      <c r="BK445" s="28"/>
      <c r="BL445" s="28">
        <v>713</v>
      </c>
      <c r="BW445" s="28">
        <v>21</v>
      </c>
    </row>
    <row r="446" spans="1:75" x14ac:dyDescent="0.25">
      <c r="A446" s="31"/>
      <c r="C446" s="32" t="s">
        <v>842</v>
      </c>
      <c r="D446" s="32" t="s">
        <v>843</v>
      </c>
      <c r="F446" s="33">
        <v>25.625</v>
      </c>
      <c r="K446" s="34"/>
    </row>
    <row r="447" spans="1:75" x14ac:dyDescent="0.25">
      <c r="A447" s="31"/>
      <c r="C447" s="32" t="s">
        <v>844</v>
      </c>
      <c r="D447" s="32" t="s">
        <v>845</v>
      </c>
      <c r="F447" s="33">
        <v>51.25</v>
      </c>
      <c r="K447" s="34"/>
    </row>
    <row r="448" spans="1:75" x14ac:dyDescent="0.25">
      <c r="A448" s="31"/>
      <c r="C448" s="32" t="s">
        <v>846</v>
      </c>
      <c r="D448" s="32" t="s">
        <v>847</v>
      </c>
      <c r="F448" s="33">
        <v>10.25</v>
      </c>
      <c r="K448" s="34"/>
    </row>
    <row r="449" spans="1:75" x14ac:dyDescent="0.25">
      <c r="A449" s="31"/>
      <c r="C449" s="32" t="s">
        <v>848</v>
      </c>
      <c r="D449" s="32" t="s">
        <v>849</v>
      </c>
      <c r="F449" s="33">
        <v>100</v>
      </c>
      <c r="K449" s="34"/>
    </row>
    <row r="450" spans="1:75" x14ac:dyDescent="0.25">
      <c r="A450" s="31"/>
      <c r="C450" s="32" t="s">
        <v>850</v>
      </c>
      <c r="D450" s="32" t="s">
        <v>851</v>
      </c>
      <c r="F450" s="33">
        <v>50</v>
      </c>
      <c r="K450" s="34"/>
    </row>
    <row r="451" spans="1:75" ht="13.5" customHeight="1" x14ac:dyDescent="0.25">
      <c r="A451" s="2" t="s">
        <v>852</v>
      </c>
      <c r="B451" s="3" t="s">
        <v>853</v>
      </c>
      <c r="C451" s="83" t="s">
        <v>854</v>
      </c>
      <c r="D451" s="80"/>
      <c r="E451" s="3" t="s">
        <v>60</v>
      </c>
      <c r="F451" s="28">
        <v>30.443439999999999</v>
      </c>
      <c r="G451" s="28">
        <v>0</v>
      </c>
      <c r="H451" s="28">
        <f>F451*AO451</f>
        <v>0</v>
      </c>
      <c r="I451" s="28">
        <f>F451*AP451</f>
        <v>0</v>
      </c>
      <c r="J451" s="28">
        <f>F451*G451</f>
        <v>0</v>
      </c>
      <c r="K451" s="29" t="s">
        <v>61</v>
      </c>
      <c r="Z451" s="28">
        <f>IF(AQ451="5",BJ451,0)</f>
        <v>0</v>
      </c>
      <c r="AB451" s="28">
        <f>IF(AQ451="1",BH451,0)</f>
        <v>0</v>
      </c>
      <c r="AC451" s="28">
        <f>IF(AQ451="1",BI451,0)</f>
        <v>0</v>
      </c>
      <c r="AD451" s="28">
        <f>IF(AQ451="7",BH451,0)</f>
        <v>0</v>
      </c>
      <c r="AE451" s="28">
        <f>IF(AQ451="7",BI451,0)</f>
        <v>0</v>
      </c>
      <c r="AF451" s="28">
        <f>IF(AQ451="2",BH451,0)</f>
        <v>0</v>
      </c>
      <c r="AG451" s="28">
        <f>IF(AQ451="2",BI451,0)</f>
        <v>0</v>
      </c>
      <c r="AH451" s="28">
        <f>IF(AQ451="0",BJ451,0)</f>
        <v>0</v>
      </c>
      <c r="AI451" s="10" t="s">
        <v>236</v>
      </c>
      <c r="AJ451" s="28">
        <f>IF(AN451=0,J451,0)</f>
        <v>0</v>
      </c>
      <c r="AK451" s="28">
        <f>IF(AN451=12,J451,0)</f>
        <v>0</v>
      </c>
      <c r="AL451" s="28">
        <f>IF(AN451=21,J451,0)</f>
        <v>0</v>
      </c>
      <c r="AN451" s="28">
        <v>21</v>
      </c>
      <c r="AO451" s="28">
        <f>G451*1</f>
        <v>0</v>
      </c>
      <c r="AP451" s="28">
        <f>G451*(1-1)</f>
        <v>0</v>
      </c>
      <c r="AQ451" s="30" t="s">
        <v>98</v>
      </c>
      <c r="AV451" s="28">
        <f>AW451+AX451</f>
        <v>0</v>
      </c>
      <c r="AW451" s="28">
        <f>F451*AO451</f>
        <v>0</v>
      </c>
      <c r="AX451" s="28">
        <f>F451*AP451</f>
        <v>0</v>
      </c>
      <c r="AY451" s="30" t="s">
        <v>829</v>
      </c>
      <c r="AZ451" s="30" t="s">
        <v>777</v>
      </c>
      <c r="BA451" s="10" t="s">
        <v>242</v>
      </c>
      <c r="BC451" s="28">
        <f>AW451+AX451</f>
        <v>0</v>
      </c>
      <c r="BD451" s="28">
        <f>G451/(100-BE451)*100</f>
        <v>0</v>
      </c>
      <c r="BE451" s="28">
        <v>0</v>
      </c>
      <c r="BF451" s="28">
        <f>451</f>
        <v>451</v>
      </c>
      <c r="BH451" s="28">
        <f>F451*AO451</f>
        <v>0</v>
      </c>
      <c r="BI451" s="28">
        <f>F451*AP451</f>
        <v>0</v>
      </c>
      <c r="BJ451" s="28">
        <f>F451*G451</f>
        <v>0</v>
      </c>
      <c r="BK451" s="28"/>
      <c r="BL451" s="28">
        <v>713</v>
      </c>
      <c r="BW451" s="28">
        <v>21</v>
      </c>
    </row>
    <row r="452" spans="1:75" x14ac:dyDescent="0.25">
      <c r="A452" s="31"/>
      <c r="C452" s="32" t="s">
        <v>855</v>
      </c>
      <c r="D452" s="32" t="s">
        <v>843</v>
      </c>
      <c r="F452" s="33">
        <v>1.28125</v>
      </c>
      <c r="K452" s="34"/>
    </row>
    <row r="453" spans="1:75" x14ac:dyDescent="0.25">
      <c r="A453" s="31"/>
      <c r="C453" s="32" t="s">
        <v>856</v>
      </c>
      <c r="D453" s="32" t="s">
        <v>845</v>
      </c>
      <c r="F453" s="33">
        <v>7.6875</v>
      </c>
      <c r="K453" s="34"/>
    </row>
    <row r="454" spans="1:75" x14ac:dyDescent="0.25">
      <c r="A454" s="31"/>
      <c r="C454" s="32" t="s">
        <v>857</v>
      </c>
      <c r="D454" s="32" t="s">
        <v>847</v>
      </c>
      <c r="F454" s="33">
        <v>1.0249999999999999</v>
      </c>
      <c r="K454" s="34"/>
    </row>
    <row r="455" spans="1:75" x14ac:dyDescent="0.25">
      <c r="A455" s="31"/>
      <c r="C455" s="32" t="s">
        <v>858</v>
      </c>
      <c r="D455" s="32" t="s">
        <v>849</v>
      </c>
      <c r="F455" s="33">
        <v>10</v>
      </c>
      <c r="K455" s="34"/>
    </row>
    <row r="456" spans="1:75" x14ac:dyDescent="0.25">
      <c r="A456" s="31"/>
      <c r="C456" s="32" t="s">
        <v>859</v>
      </c>
      <c r="D456" s="32" t="s">
        <v>851</v>
      </c>
      <c r="F456" s="33">
        <v>9</v>
      </c>
      <c r="K456" s="34"/>
    </row>
    <row r="457" spans="1:75" x14ac:dyDescent="0.25">
      <c r="A457" s="31"/>
      <c r="C457" s="32" t="s">
        <v>860</v>
      </c>
      <c r="D457" s="32" t="s">
        <v>52</v>
      </c>
      <c r="F457" s="33">
        <v>1.4496899999999999</v>
      </c>
      <c r="K457" s="34"/>
    </row>
    <row r="458" spans="1:75" ht="13.5" customHeight="1" x14ac:dyDescent="0.25">
      <c r="A458" s="2" t="s">
        <v>861</v>
      </c>
      <c r="B458" s="3" t="s">
        <v>840</v>
      </c>
      <c r="C458" s="83" t="s">
        <v>862</v>
      </c>
      <c r="D458" s="80"/>
      <c r="E458" s="3" t="s">
        <v>148</v>
      </c>
      <c r="F458" s="28">
        <v>46.08</v>
      </c>
      <c r="G458" s="28">
        <v>0</v>
      </c>
      <c r="H458" s="28">
        <f>F458*AO458</f>
        <v>0</v>
      </c>
      <c r="I458" s="28">
        <f>F458*AP458</f>
        <v>0</v>
      </c>
      <c r="J458" s="28">
        <f>F458*G458</f>
        <v>0</v>
      </c>
      <c r="K458" s="29" t="s">
        <v>61</v>
      </c>
      <c r="Z458" s="28">
        <f>IF(AQ458="5",BJ458,0)</f>
        <v>0</v>
      </c>
      <c r="AB458" s="28">
        <f>IF(AQ458="1",BH458,0)</f>
        <v>0</v>
      </c>
      <c r="AC458" s="28">
        <f>IF(AQ458="1",BI458,0)</f>
        <v>0</v>
      </c>
      <c r="AD458" s="28">
        <f>IF(AQ458="7",BH458,0)</f>
        <v>0</v>
      </c>
      <c r="AE458" s="28">
        <f>IF(AQ458="7",BI458,0)</f>
        <v>0</v>
      </c>
      <c r="AF458" s="28">
        <f>IF(AQ458="2",BH458,0)</f>
        <v>0</v>
      </c>
      <c r="AG458" s="28">
        <f>IF(AQ458="2",BI458,0)</f>
        <v>0</v>
      </c>
      <c r="AH458" s="28">
        <f>IF(AQ458="0",BJ458,0)</f>
        <v>0</v>
      </c>
      <c r="AI458" s="10" t="s">
        <v>236</v>
      </c>
      <c r="AJ458" s="28">
        <f>IF(AN458=0,J458,0)</f>
        <v>0</v>
      </c>
      <c r="AK458" s="28">
        <f>IF(AN458=12,J458,0)</f>
        <v>0</v>
      </c>
      <c r="AL458" s="28">
        <f>IF(AN458=21,J458,0)</f>
        <v>0</v>
      </c>
      <c r="AN458" s="28">
        <v>21</v>
      </c>
      <c r="AO458" s="28">
        <f>G458*0.438566308</f>
        <v>0</v>
      </c>
      <c r="AP458" s="28">
        <f>G458*(1-0.438566308)</f>
        <v>0</v>
      </c>
      <c r="AQ458" s="30" t="s">
        <v>98</v>
      </c>
      <c r="AV458" s="28">
        <f>AW458+AX458</f>
        <v>0</v>
      </c>
      <c r="AW458" s="28">
        <f>F458*AO458</f>
        <v>0</v>
      </c>
      <c r="AX458" s="28">
        <f>F458*AP458</f>
        <v>0</v>
      </c>
      <c r="AY458" s="30" t="s">
        <v>829</v>
      </c>
      <c r="AZ458" s="30" t="s">
        <v>777</v>
      </c>
      <c r="BA458" s="10" t="s">
        <v>242</v>
      </c>
      <c r="BC458" s="28">
        <f>AW458+AX458</f>
        <v>0</v>
      </c>
      <c r="BD458" s="28">
        <f>G458/(100-BE458)*100</f>
        <v>0</v>
      </c>
      <c r="BE458" s="28">
        <v>0</v>
      </c>
      <c r="BF458" s="28">
        <f>458</f>
        <v>458</v>
      </c>
      <c r="BH458" s="28">
        <f>F458*AO458</f>
        <v>0</v>
      </c>
      <c r="BI458" s="28">
        <f>F458*AP458</f>
        <v>0</v>
      </c>
      <c r="BJ458" s="28">
        <f>F458*G458</f>
        <v>0</v>
      </c>
      <c r="BK458" s="28"/>
      <c r="BL458" s="28">
        <v>713</v>
      </c>
      <c r="BW458" s="28">
        <v>21</v>
      </c>
    </row>
    <row r="459" spans="1:75" x14ac:dyDescent="0.25">
      <c r="A459" s="31"/>
      <c r="C459" s="32" t="s">
        <v>863</v>
      </c>
      <c r="D459" s="32" t="s">
        <v>815</v>
      </c>
      <c r="F459" s="33">
        <v>34.56</v>
      </c>
      <c r="K459" s="34"/>
    </row>
    <row r="460" spans="1:75" x14ac:dyDescent="0.25">
      <c r="A460" s="31"/>
      <c r="C460" s="32" t="s">
        <v>864</v>
      </c>
      <c r="D460" s="32" t="s">
        <v>810</v>
      </c>
      <c r="F460" s="33">
        <v>11.52</v>
      </c>
      <c r="K460" s="34"/>
    </row>
    <row r="461" spans="1:75" ht="13.5" customHeight="1" x14ac:dyDescent="0.25">
      <c r="A461" s="2" t="s">
        <v>865</v>
      </c>
      <c r="B461" s="3" t="s">
        <v>866</v>
      </c>
      <c r="C461" s="83" t="s">
        <v>867</v>
      </c>
      <c r="D461" s="80"/>
      <c r="E461" s="3" t="s">
        <v>148</v>
      </c>
      <c r="F461" s="28">
        <v>48.352499999999999</v>
      </c>
      <c r="G461" s="28">
        <v>0</v>
      </c>
      <c r="H461" s="28">
        <f>F461*AO461</f>
        <v>0</v>
      </c>
      <c r="I461" s="28">
        <f>F461*AP461</f>
        <v>0</v>
      </c>
      <c r="J461" s="28">
        <f>F461*G461</f>
        <v>0</v>
      </c>
      <c r="K461" s="29" t="s">
        <v>61</v>
      </c>
      <c r="Z461" s="28">
        <f>IF(AQ461="5",BJ461,0)</f>
        <v>0</v>
      </c>
      <c r="AB461" s="28">
        <f>IF(AQ461="1",BH461,0)</f>
        <v>0</v>
      </c>
      <c r="AC461" s="28">
        <f>IF(AQ461="1",BI461,0)</f>
        <v>0</v>
      </c>
      <c r="AD461" s="28">
        <f>IF(AQ461="7",BH461,0)</f>
        <v>0</v>
      </c>
      <c r="AE461" s="28">
        <f>IF(AQ461="7",BI461,0)</f>
        <v>0</v>
      </c>
      <c r="AF461" s="28">
        <f>IF(AQ461="2",BH461,0)</f>
        <v>0</v>
      </c>
      <c r="AG461" s="28">
        <f>IF(AQ461="2",BI461,0)</f>
        <v>0</v>
      </c>
      <c r="AH461" s="28">
        <f>IF(AQ461="0",BJ461,0)</f>
        <v>0</v>
      </c>
      <c r="AI461" s="10" t="s">
        <v>236</v>
      </c>
      <c r="AJ461" s="28">
        <f>IF(AN461=0,J461,0)</f>
        <v>0</v>
      </c>
      <c r="AK461" s="28">
        <f>IF(AN461=12,J461,0)</f>
        <v>0</v>
      </c>
      <c r="AL461" s="28">
        <f>IF(AN461=21,J461,0)</f>
        <v>0</v>
      </c>
      <c r="AN461" s="28">
        <v>21</v>
      </c>
      <c r="AO461" s="28">
        <f>G461*1</f>
        <v>0</v>
      </c>
      <c r="AP461" s="28">
        <f>G461*(1-1)</f>
        <v>0</v>
      </c>
      <c r="AQ461" s="30" t="s">
        <v>98</v>
      </c>
      <c r="AV461" s="28">
        <f>AW461+AX461</f>
        <v>0</v>
      </c>
      <c r="AW461" s="28">
        <f>F461*AO461</f>
        <v>0</v>
      </c>
      <c r="AX461" s="28">
        <f>F461*AP461</f>
        <v>0</v>
      </c>
      <c r="AY461" s="30" t="s">
        <v>829</v>
      </c>
      <c r="AZ461" s="30" t="s">
        <v>777</v>
      </c>
      <c r="BA461" s="10" t="s">
        <v>242</v>
      </c>
      <c r="BC461" s="28">
        <f>AW461+AX461</f>
        <v>0</v>
      </c>
      <c r="BD461" s="28">
        <f>G461/(100-BE461)*100</f>
        <v>0</v>
      </c>
      <c r="BE461" s="28">
        <v>0</v>
      </c>
      <c r="BF461" s="28">
        <f>461</f>
        <v>461</v>
      </c>
      <c r="BH461" s="28">
        <f>F461*AO461</f>
        <v>0</v>
      </c>
      <c r="BI461" s="28">
        <f>F461*AP461</f>
        <v>0</v>
      </c>
      <c r="BJ461" s="28">
        <f>F461*G461</f>
        <v>0</v>
      </c>
      <c r="BK461" s="28"/>
      <c r="BL461" s="28">
        <v>713</v>
      </c>
      <c r="BW461" s="28">
        <v>21</v>
      </c>
    </row>
    <row r="462" spans="1:75" x14ac:dyDescent="0.25">
      <c r="A462" s="31"/>
      <c r="C462" s="32" t="s">
        <v>868</v>
      </c>
      <c r="D462" s="32" t="s">
        <v>52</v>
      </c>
      <c r="F462" s="33">
        <v>46.05</v>
      </c>
      <c r="K462" s="34"/>
    </row>
    <row r="463" spans="1:75" x14ac:dyDescent="0.25">
      <c r="A463" s="31"/>
      <c r="C463" s="32" t="s">
        <v>869</v>
      </c>
      <c r="D463" s="32" t="s">
        <v>52</v>
      </c>
      <c r="F463" s="33">
        <v>2.3025000000000002</v>
      </c>
      <c r="K463" s="34"/>
    </row>
    <row r="464" spans="1:75" ht="13.5" customHeight="1" x14ac:dyDescent="0.25">
      <c r="A464" s="2" t="s">
        <v>870</v>
      </c>
      <c r="B464" s="3" t="s">
        <v>871</v>
      </c>
      <c r="C464" s="83" t="s">
        <v>872</v>
      </c>
      <c r="D464" s="80"/>
      <c r="E464" s="3" t="s">
        <v>71</v>
      </c>
      <c r="F464" s="28">
        <v>0.69679000000000002</v>
      </c>
      <c r="G464" s="28">
        <v>0</v>
      </c>
      <c r="H464" s="28">
        <f>F464*AO464</f>
        <v>0</v>
      </c>
      <c r="I464" s="28">
        <f>F464*AP464</f>
        <v>0</v>
      </c>
      <c r="J464" s="28">
        <f>F464*G464</f>
        <v>0</v>
      </c>
      <c r="K464" s="29" t="s">
        <v>61</v>
      </c>
      <c r="Z464" s="28">
        <f>IF(AQ464="5",BJ464,0)</f>
        <v>0</v>
      </c>
      <c r="AB464" s="28">
        <f>IF(AQ464="1",BH464,0)</f>
        <v>0</v>
      </c>
      <c r="AC464" s="28">
        <f>IF(AQ464="1",BI464,0)</f>
        <v>0</v>
      </c>
      <c r="AD464" s="28">
        <f>IF(AQ464="7",BH464,0)</f>
        <v>0</v>
      </c>
      <c r="AE464" s="28">
        <f>IF(AQ464="7",BI464,0)</f>
        <v>0</v>
      </c>
      <c r="AF464" s="28">
        <f>IF(AQ464="2",BH464,0)</f>
        <v>0</v>
      </c>
      <c r="AG464" s="28">
        <f>IF(AQ464="2",BI464,0)</f>
        <v>0</v>
      </c>
      <c r="AH464" s="28">
        <f>IF(AQ464="0",BJ464,0)</f>
        <v>0</v>
      </c>
      <c r="AI464" s="10" t="s">
        <v>236</v>
      </c>
      <c r="AJ464" s="28">
        <f>IF(AN464=0,J464,0)</f>
        <v>0</v>
      </c>
      <c r="AK464" s="28">
        <f>IF(AN464=12,J464,0)</f>
        <v>0</v>
      </c>
      <c r="AL464" s="28">
        <f>IF(AN464=21,J464,0)</f>
        <v>0</v>
      </c>
      <c r="AN464" s="28">
        <v>21</v>
      </c>
      <c r="AO464" s="28">
        <f>G464*0</f>
        <v>0</v>
      </c>
      <c r="AP464" s="28">
        <f>G464*(1-0)</f>
        <v>0</v>
      </c>
      <c r="AQ464" s="30" t="s">
        <v>87</v>
      </c>
      <c r="AV464" s="28">
        <f>AW464+AX464</f>
        <v>0</v>
      </c>
      <c r="AW464" s="28">
        <f>F464*AO464</f>
        <v>0</v>
      </c>
      <c r="AX464" s="28">
        <f>F464*AP464</f>
        <v>0</v>
      </c>
      <c r="AY464" s="30" t="s">
        <v>829</v>
      </c>
      <c r="AZ464" s="30" t="s">
        <v>777</v>
      </c>
      <c r="BA464" s="10" t="s">
        <v>242</v>
      </c>
      <c r="BC464" s="28">
        <f>AW464+AX464</f>
        <v>0</v>
      </c>
      <c r="BD464" s="28">
        <f>G464/(100-BE464)*100</f>
        <v>0</v>
      </c>
      <c r="BE464" s="28">
        <v>0</v>
      </c>
      <c r="BF464" s="28">
        <f>464</f>
        <v>464</v>
      </c>
      <c r="BH464" s="28">
        <f>F464*AO464</f>
        <v>0</v>
      </c>
      <c r="BI464" s="28">
        <f>F464*AP464</f>
        <v>0</v>
      </c>
      <c r="BJ464" s="28">
        <f>F464*G464</f>
        <v>0</v>
      </c>
      <c r="BK464" s="28"/>
      <c r="BL464" s="28">
        <v>713</v>
      </c>
      <c r="BW464" s="28">
        <v>21</v>
      </c>
    </row>
    <row r="465" spans="1:75" x14ac:dyDescent="0.25">
      <c r="A465" s="24" t="s">
        <v>52</v>
      </c>
      <c r="B465" s="25" t="s">
        <v>143</v>
      </c>
      <c r="C465" s="139" t="s">
        <v>144</v>
      </c>
      <c r="D465" s="140"/>
      <c r="E465" s="26" t="s">
        <v>4</v>
      </c>
      <c r="F465" s="26" t="s">
        <v>4</v>
      </c>
      <c r="G465" s="26" t="s">
        <v>4</v>
      </c>
      <c r="H465" s="1">
        <f>SUM(H466:H469)</f>
        <v>0</v>
      </c>
      <c r="I465" s="1">
        <f>SUM(I466:I469)</f>
        <v>0</v>
      </c>
      <c r="J465" s="1">
        <f>SUM(J466:J469)</f>
        <v>0</v>
      </c>
      <c r="K465" s="27" t="s">
        <v>52</v>
      </c>
      <c r="AI465" s="10" t="s">
        <v>236</v>
      </c>
      <c r="AS465" s="1">
        <f>SUM(AJ466:AJ469)</f>
        <v>0</v>
      </c>
      <c r="AT465" s="1">
        <f>SUM(AK466:AK469)</f>
        <v>0</v>
      </c>
      <c r="AU465" s="1">
        <f>SUM(AL466:AL469)</f>
        <v>0</v>
      </c>
    </row>
    <row r="466" spans="1:75" ht="27" customHeight="1" x14ac:dyDescent="0.25">
      <c r="A466" s="2" t="s">
        <v>873</v>
      </c>
      <c r="B466" s="3" t="s">
        <v>874</v>
      </c>
      <c r="C466" s="83" t="s">
        <v>875</v>
      </c>
      <c r="D466" s="80"/>
      <c r="E466" s="3" t="s">
        <v>78</v>
      </c>
      <c r="F466" s="28">
        <v>40.5</v>
      </c>
      <c r="G466" s="28">
        <v>0</v>
      </c>
      <c r="H466" s="28">
        <f>F466*AO466</f>
        <v>0</v>
      </c>
      <c r="I466" s="28">
        <f>F466*AP466</f>
        <v>0</v>
      </c>
      <c r="J466" s="28">
        <f>F466*G466</f>
        <v>0</v>
      </c>
      <c r="K466" s="29" t="s">
        <v>61</v>
      </c>
      <c r="Z466" s="28">
        <f>IF(AQ466="5",BJ466,0)</f>
        <v>0</v>
      </c>
      <c r="AB466" s="28">
        <f>IF(AQ466="1",BH466,0)</f>
        <v>0</v>
      </c>
      <c r="AC466" s="28">
        <f>IF(AQ466="1",BI466,0)</f>
        <v>0</v>
      </c>
      <c r="AD466" s="28">
        <f>IF(AQ466="7",BH466,0)</f>
        <v>0</v>
      </c>
      <c r="AE466" s="28">
        <f>IF(AQ466="7",BI466,0)</f>
        <v>0</v>
      </c>
      <c r="AF466" s="28">
        <f>IF(AQ466="2",BH466,0)</f>
        <v>0</v>
      </c>
      <c r="AG466" s="28">
        <f>IF(AQ466="2",BI466,0)</f>
        <v>0</v>
      </c>
      <c r="AH466" s="28">
        <f>IF(AQ466="0",BJ466,0)</f>
        <v>0</v>
      </c>
      <c r="AI466" s="10" t="s">
        <v>236</v>
      </c>
      <c r="AJ466" s="28">
        <f>IF(AN466=0,J466,0)</f>
        <v>0</v>
      </c>
      <c r="AK466" s="28">
        <f>IF(AN466=12,J466,0)</f>
        <v>0</v>
      </c>
      <c r="AL466" s="28">
        <f>IF(AN466=21,J466,0)</f>
        <v>0</v>
      </c>
      <c r="AN466" s="28">
        <v>21</v>
      </c>
      <c r="AO466" s="28">
        <f>G466*0.488698863</f>
        <v>0</v>
      </c>
      <c r="AP466" s="28">
        <f>G466*(1-0.488698863)</f>
        <v>0</v>
      </c>
      <c r="AQ466" s="30" t="s">
        <v>98</v>
      </c>
      <c r="AV466" s="28">
        <f>AW466+AX466</f>
        <v>0</v>
      </c>
      <c r="AW466" s="28">
        <f>F466*AO466</f>
        <v>0</v>
      </c>
      <c r="AX466" s="28">
        <f>F466*AP466</f>
        <v>0</v>
      </c>
      <c r="AY466" s="30" t="s">
        <v>149</v>
      </c>
      <c r="AZ466" s="30" t="s">
        <v>876</v>
      </c>
      <c r="BA466" s="10" t="s">
        <v>242</v>
      </c>
      <c r="BC466" s="28">
        <f>AW466+AX466</f>
        <v>0</v>
      </c>
      <c r="BD466" s="28">
        <f>G466/(100-BE466)*100</f>
        <v>0</v>
      </c>
      <c r="BE466" s="28">
        <v>0</v>
      </c>
      <c r="BF466" s="28">
        <f>466</f>
        <v>466</v>
      </c>
      <c r="BH466" s="28">
        <f>F466*AO466</f>
        <v>0</v>
      </c>
      <c r="BI466" s="28">
        <f>F466*AP466</f>
        <v>0</v>
      </c>
      <c r="BJ466" s="28">
        <f>F466*G466</f>
        <v>0</v>
      </c>
      <c r="BK466" s="28"/>
      <c r="BL466" s="28">
        <v>762</v>
      </c>
      <c r="BW466" s="28">
        <v>21</v>
      </c>
    </row>
    <row r="467" spans="1:75" x14ac:dyDescent="0.25">
      <c r="A467" s="31"/>
      <c r="C467" s="32" t="s">
        <v>877</v>
      </c>
      <c r="D467" s="32" t="s">
        <v>878</v>
      </c>
      <c r="F467" s="33">
        <v>20.5</v>
      </c>
      <c r="K467" s="34"/>
    </row>
    <row r="468" spans="1:75" x14ac:dyDescent="0.25">
      <c r="A468" s="31"/>
      <c r="C468" s="32" t="s">
        <v>169</v>
      </c>
      <c r="D468" s="32" t="s">
        <v>879</v>
      </c>
      <c r="F468" s="33">
        <v>20</v>
      </c>
      <c r="K468" s="34"/>
    </row>
    <row r="469" spans="1:75" ht="13.5" customHeight="1" x14ac:dyDescent="0.25">
      <c r="A469" s="2" t="s">
        <v>880</v>
      </c>
      <c r="B469" s="3" t="s">
        <v>881</v>
      </c>
      <c r="C469" s="83" t="s">
        <v>882</v>
      </c>
      <c r="D469" s="80"/>
      <c r="E469" s="3" t="s">
        <v>71</v>
      </c>
      <c r="F469" s="28">
        <v>0.25312000000000001</v>
      </c>
      <c r="G469" s="28">
        <v>0</v>
      </c>
      <c r="H469" s="28">
        <f>F469*AO469</f>
        <v>0</v>
      </c>
      <c r="I469" s="28">
        <f>F469*AP469</f>
        <v>0</v>
      </c>
      <c r="J469" s="28">
        <f>F469*G469</f>
        <v>0</v>
      </c>
      <c r="K469" s="29" t="s">
        <v>61</v>
      </c>
      <c r="Z469" s="28">
        <f>IF(AQ469="5",BJ469,0)</f>
        <v>0</v>
      </c>
      <c r="AB469" s="28">
        <f>IF(AQ469="1",BH469,0)</f>
        <v>0</v>
      </c>
      <c r="AC469" s="28">
        <f>IF(AQ469="1",BI469,0)</f>
        <v>0</v>
      </c>
      <c r="AD469" s="28">
        <f>IF(AQ469="7",BH469,0)</f>
        <v>0</v>
      </c>
      <c r="AE469" s="28">
        <f>IF(AQ469="7",BI469,0)</f>
        <v>0</v>
      </c>
      <c r="AF469" s="28">
        <f>IF(AQ469="2",BH469,0)</f>
        <v>0</v>
      </c>
      <c r="AG469" s="28">
        <f>IF(AQ469="2",BI469,0)</f>
        <v>0</v>
      </c>
      <c r="AH469" s="28">
        <f>IF(AQ469="0",BJ469,0)</f>
        <v>0</v>
      </c>
      <c r="AI469" s="10" t="s">
        <v>236</v>
      </c>
      <c r="AJ469" s="28">
        <f>IF(AN469=0,J469,0)</f>
        <v>0</v>
      </c>
      <c r="AK469" s="28">
        <f>IF(AN469=12,J469,0)</f>
        <v>0</v>
      </c>
      <c r="AL469" s="28">
        <f>IF(AN469=21,J469,0)</f>
        <v>0</v>
      </c>
      <c r="AN469" s="28">
        <v>21</v>
      </c>
      <c r="AO469" s="28">
        <f>G469*0</f>
        <v>0</v>
      </c>
      <c r="AP469" s="28">
        <f>G469*(1-0)</f>
        <v>0</v>
      </c>
      <c r="AQ469" s="30" t="s">
        <v>87</v>
      </c>
      <c r="AV469" s="28">
        <f>AW469+AX469</f>
        <v>0</v>
      </c>
      <c r="AW469" s="28">
        <f>F469*AO469</f>
        <v>0</v>
      </c>
      <c r="AX469" s="28">
        <f>F469*AP469</f>
        <v>0</v>
      </c>
      <c r="AY469" s="30" t="s">
        <v>149</v>
      </c>
      <c r="AZ469" s="30" t="s">
        <v>876</v>
      </c>
      <c r="BA469" s="10" t="s">
        <v>242</v>
      </c>
      <c r="BC469" s="28">
        <f>AW469+AX469</f>
        <v>0</v>
      </c>
      <c r="BD469" s="28">
        <f>G469/(100-BE469)*100</f>
        <v>0</v>
      </c>
      <c r="BE469" s="28">
        <v>0</v>
      </c>
      <c r="BF469" s="28">
        <f>469</f>
        <v>469</v>
      </c>
      <c r="BH469" s="28">
        <f>F469*AO469</f>
        <v>0</v>
      </c>
      <c r="BI469" s="28">
        <f>F469*AP469</f>
        <v>0</v>
      </c>
      <c r="BJ469" s="28">
        <f>F469*G469</f>
        <v>0</v>
      </c>
      <c r="BK469" s="28"/>
      <c r="BL469" s="28">
        <v>762</v>
      </c>
      <c r="BW469" s="28">
        <v>21</v>
      </c>
    </row>
    <row r="470" spans="1:75" x14ac:dyDescent="0.25">
      <c r="A470" s="24" t="s">
        <v>52</v>
      </c>
      <c r="B470" s="25" t="s">
        <v>152</v>
      </c>
      <c r="C470" s="139" t="s">
        <v>153</v>
      </c>
      <c r="D470" s="140"/>
      <c r="E470" s="26" t="s">
        <v>4</v>
      </c>
      <c r="F470" s="26" t="s">
        <v>4</v>
      </c>
      <c r="G470" s="26" t="s">
        <v>4</v>
      </c>
      <c r="H470" s="1">
        <f>SUM(H471:H506)</f>
        <v>0</v>
      </c>
      <c r="I470" s="1">
        <f>SUM(I471:I506)</f>
        <v>0</v>
      </c>
      <c r="J470" s="1">
        <f>SUM(J471:J506)</f>
        <v>0</v>
      </c>
      <c r="K470" s="27" t="s">
        <v>52</v>
      </c>
      <c r="AI470" s="10" t="s">
        <v>236</v>
      </c>
      <c r="AS470" s="1">
        <f>SUM(AJ471:AJ506)</f>
        <v>0</v>
      </c>
      <c r="AT470" s="1">
        <f>SUM(AK471:AK506)</f>
        <v>0</v>
      </c>
      <c r="AU470" s="1">
        <f>SUM(AL471:AL506)</f>
        <v>0</v>
      </c>
    </row>
    <row r="471" spans="1:75" ht="13.5" customHeight="1" x14ac:dyDescent="0.25">
      <c r="A471" s="2" t="s">
        <v>883</v>
      </c>
      <c r="B471" s="3" t="s">
        <v>884</v>
      </c>
      <c r="C471" s="83" t="s">
        <v>885</v>
      </c>
      <c r="D471" s="80"/>
      <c r="E471" s="3" t="s">
        <v>78</v>
      </c>
      <c r="F471" s="28">
        <v>22.849</v>
      </c>
      <c r="G471" s="28">
        <v>0</v>
      </c>
      <c r="H471" s="28">
        <f>F471*AO471</f>
        <v>0</v>
      </c>
      <c r="I471" s="28">
        <f>F471*AP471</f>
        <v>0</v>
      </c>
      <c r="J471" s="28">
        <f>F471*G471</f>
        <v>0</v>
      </c>
      <c r="K471" s="29" t="s">
        <v>61</v>
      </c>
      <c r="Z471" s="28">
        <f>IF(AQ471="5",BJ471,0)</f>
        <v>0</v>
      </c>
      <c r="AB471" s="28">
        <f>IF(AQ471="1",BH471,0)</f>
        <v>0</v>
      </c>
      <c r="AC471" s="28">
        <f>IF(AQ471="1",BI471,0)</f>
        <v>0</v>
      </c>
      <c r="AD471" s="28">
        <f>IF(AQ471="7",BH471,0)</f>
        <v>0</v>
      </c>
      <c r="AE471" s="28">
        <f>IF(AQ471="7",BI471,0)</f>
        <v>0</v>
      </c>
      <c r="AF471" s="28">
        <f>IF(AQ471="2",BH471,0)</f>
        <v>0</v>
      </c>
      <c r="AG471" s="28">
        <f>IF(AQ471="2",BI471,0)</f>
        <v>0</v>
      </c>
      <c r="AH471" s="28">
        <f>IF(AQ471="0",BJ471,0)</f>
        <v>0</v>
      </c>
      <c r="AI471" s="10" t="s">
        <v>236</v>
      </c>
      <c r="AJ471" s="28">
        <f>IF(AN471=0,J471,0)</f>
        <v>0</v>
      </c>
      <c r="AK471" s="28">
        <f>IF(AN471=12,J471,0)</f>
        <v>0</v>
      </c>
      <c r="AL471" s="28">
        <f>IF(AN471=21,J471,0)</f>
        <v>0</v>
      </c>
      <c r="AN471" s="28">
        <v>21</v>
      </c>
      <c r="AO471" s="28">
        <f>G471*0.771428379</f>
        <v>0</v>
      </c>
      <c r="AP471" s="28">
        <f>G471*(1-0.771428379)</f>
        <v>0</v>
      </c>
      <c r="AQ471" s="30" t="s">
        <v>98</v>
      </c>
      <c r="AV471" s="28">
        <f>AW471+AX471</f>
        <v>0</v>
      </c>
      <c r="AW471" s="28">
        <f>F471*AO471</f>
        <v>0</v>
      </c>
      <c r="AX471" s="28">
        <f>F471*AP471</f>
        <v>0</v>
      </c>
      <c r="AY471" s="30" t="s">
        <v>156</v>
      </c>
      <c r="AZ471" s="30" t="s">
        <v>876</v>
      </c>
      <c r="BA471" s="10" t="s">
        <v>242</v>
      </c>
      <c r="BC471" s="28">
        <f>AW471+AX471</f>
        <v>0</v>
      </c>
      <c r="BD471" s="28">
        <f>G471/(100-BE471)*100</f>
        <v>0</v>
      </c>
      <c r="BE471" s="28">
        <v>0</v>
      </c>
      <c r="BF471" s="28">
        <f>471</f>
        <v>471</v>
      </c>
      <c r="BH471" s="28">
        <f>F471*AO471</f>
        <v>0</v>
      </c>
      <c r="BI471" s="28">
        <f>F471*AP471</f>
        <v>0</v>
      </c>
      <c r="BJ471" s="28">
        <f>F471*G471</f>
        <v>0</v>
      </c>
      <c r="BK471" s="28"/>
      <c r="BL471" s="28">
        <v>764</v>
      </c>
      <c r="BW471" s="28">
        <v>21</v>
      </c>
    </row>
    <row r="472" spans="1:75" x14ac:dyDescent="0.25">
      <c r="A472" s="31"/>
      <c r="C472" s="32" t="s">
        <v>886</v>
      </c>
      <c r="D472" s="32" t="s">
        <v>52</v>
      </c>
      <c r="F472" s="33">
        <v>22.849</v>
      </c>
      <c r="K472" s="34"/>
    </row>
    <row r="473" spans="1:75" ht="13.5" customHeight="1" x14ac:dyDescent="0.25">
      <c r="A473" s="2" t="s">
        <v>887</v>
      </c>
      <c r="B473" s="3" t="s">
        <v>888</v>
      </c>
      <c r="C473" s="83" t="s">
        <v>889</v>
      </c>
      <c r="D473" s="80"/>
      <c r="E473" s="3" t="s">
        <v>78</v>
      </c>
      <c r="F473" s="28">
        <v>22.85</v>
      </c>
      <c r="G473" s="28">
        <v>0</v>
      </c>
      <c r="H473" s="28">
        <f>F473*AO473</f>
        <v>0</v>
      </c>
      <c r="I473" s="28">
        <f>F473*AP473</f>
        <v>0</v>
      </c>
      <c r="J473" s="28">
        <f>F473*G473</f>
        <v>0</v>
      </c>
      <c r="K473" s="29" t="s">
        <v>61</v>
      </c>
      <c r="Z473" s="28">
        <f>IF(AQ473="5",BJ473,0)</f>
        <v>0</v>
      </c>
      <c r="AB473" s="28">
        <f>IF(AQ473="1",BH473,0)</f>
        <v>0</v>
      </c>
      <c r="AC473" s="28">
        <f>IF(AQ473="1",BI473,0)</f>
        <v>0</v>
      </c>
      <c r="AD473" s="28">
        <f>IF(AQ473="7",BH473,0)</f>
        <v>0</v>
      </c>
      <c r="AE473" s="28">
        <f>IF(AQ473="7",BI473,0)</f>
        <v>0</v>
      </c>
      <c r="AF473" s="28">
        <f>IF(AQ473="2",BH473,0)</f>
        <v>0</v>
      </c>
      <c r="AG473" s="28">
        <f>IF(AQ473="2",BI473,0)</f>
        <v>0</v>
      </c>
      <c r="AH473" s="28">
        <f>IF(AQ473="0",BJ473,0)</f>
        <v>0</v>
      </c>
      <c r="AI473" s="10" t="s">
        <v>236</v>
      </c>
      <c r="AJ473" s="28">
        <f>IF(AN473=0,J473,0)</f>
        <v>0</v>
      </c>
      <c r="AK473" s="28">
        <f>IF(AN473=12,J473,0)</f>
        <v>0</v>
      </c>
      <c r="AL473" s="28">
        <f>IF(AN473=21,J473,0)</f>
        <v>0</v>
      </c>
      <c r="AN473" s="28">
        <v>21</v>
      </c>
      <c r="AO473" s="28">
        <f>G473*0.769230769</f>
        <v>0</v>
      </c>
      <c r="AP473" s="28">
        <f>G473*(1-0.769230769)</f>
        <v>0</v>
      </c>
      <c r="AQ473" s="30" t="s">
        <v>98</v>
      </c>
      <c r="AV473" s="28">
        <f>AW473+AX473</f>
        <v>0</v>
      </c>
      <c r="AW473" s="28">
        <f>F473*AO473</f>
        <v>0</v>
      </c>
      <c r="AX473" s="28">
        <f>F473*AP473</f>
        <v>0</v>
      </c>
      <c r="AY473" s="30" t="s">
        <v>156</v>
      </c>
      <c r="AZ473" s="30" t="s">
        <v>876</v>
      </c>
      <c r="BA473" s="10" t="s">
        <v>242</v>
      </c>
      <c r="BC473" s="28">
        <f>AW473+AX473</f>
        <v>0</v>
      </c>
      <c r="BD473" s="28">
        <f>G473/(100-BE473)*100</f>
        <v>0</v>
      </c>
      <c r="BE473" s="28">
        <v>0</v>
      </c>
      <c r="BF473" s="28">
        <f>473</f>
        <v>473</v>
      </c>
      <c r="BH473" s="28">
        <f>F473*AO473</f>
        <v>0</v>
      </c>
      <c r="BI473" s="28">
        <f>F473*AP473</f>
        <v>0</v>
      </c>
      <c r="BJ473" s="28">
        <f>F473*G473</f>
        <v>0</v>
      </c>
      <c r="BK473" s="28"/>
      <c r="BL473" s="28">
        <v>764</v>
      </c>
      <c r="BW473" s="28">
        <v>21</v>
      </c>
    </row>
    <row r="474" spans="1:75" x14ac:dyDescent="0.25">
      <c r="A474" s="31"/>
      <c r="C474" s="32" t="s">
        <v>890</v>
      </c>
      <c r="D474" s="32" t="s">
        <v>52</v>
      </c>
      <c r="F474" s="33">
        <v>22.85</v>
      </c>
      <c r="K474" s="34"/>
    </row>
    <row r="475" spans="1:75" ht="13.5" customHeight="1" x14ac:dyDescent="0.25">
      <c r="A475" s="2" t="s">
        <v>891</v>
      </c>
      <c r="B475" s="3" t="s">
        <v>892</v>
      </c>
      <c r="C475" s="83" t="s">
        <v>893</v>
      </c>
      <c r="D475" s="80"/>
      <c r="E475" s="3" t="s">
        <v>78</v>
      </c>
      <c r="F475" s="28">
        <v>45.7</v>
      </c>
      <c r="G475" s="28">
        <v>0</v>
      </c>
      <c r="H475" s="28">
        <f>F475*AO475</f>
        <v>0</v>
      </c>
      <c r="I475" s="28">
        <f>F475*AP475</f>
        <v>0</v>
      </c>
      <c r="J475" s="28">
        <f>F475*G475</f>
        <v>0</v>
      </c>
      <c r="K475" s="29" t="s">
        <v>61</v>
      </c>
      <c r="Z475" s="28">
        <f>IF(AQ475="5",BJ475,0)</f>
        <v>0</v>
      </c>
      <c r="AB475" s="28">
        <f>IF(AQ475="1",BH475,0)</f>
        <v>0</v>
      </c>
      <c r="AC475" s="28">
        <f>IF(AQ475="1",BI475,0)</f>
        <v>0</v>
      </c>
      <c r="AD475" s="28">
        <f>IF(AQ475="7",BH475,0)</f>
        <v>0</v>
      </c>
      <c r="AE475" s="28">
        <f>IF(AQ475="7",BI475,0)</f>
        <v>0</v>
      </c>
      <c r="AF475" s="28">
        <f>IF(AQ475="2",BH475,0)</f>
        <v>0</v>
      </c>
      <c r="AG475" s="28">
        <f>IF(AQ475="2",BI475,0)</f>
        <v>0</v>
      </c>
      <c r="AH475" s="28">
        <f>IF(AQ475="0",BJ475,0)</f>
        <v>0</v>
      </c>
      <c r="AI475" s="10" t="s">
        <v>236</v>
      </c>
      <c r="AJ475" s="28">
        <f>IF(AN475=0,J475,0)</f>
        <v>0</v>
      </c>
      <c r="AK475" s="28">
        <f>IF(AN475=12,J475,0)</f>
        <v>0</v>
      </c>
      <c r="AL475" s="28">
        <f>IF(AN475=21,J475,0)</f>
        <v>0</v>
      </c>
      <c r="AN475" s="28">
        <v>21</v>
      </c>
      <c r="AO475" s="28">
        <f>G475*0.714285714</f>
        <v>0</v>
      </c>
      <c r="AP475" s="28">
        <f>G475*(1-0.714285714)</f>
        <v>0</v>
      </c>
      <c r="AQ475" s="30" t="s">
        <v>98</v>
      </c>
      <c r="AV475" s="28">
        <f>AW475+AX475</f>
        <v>0</v>
      </c>
      <c r="AW475" s="28">
        <f>F475*AO475</f>
        <v>0</v>
      </c>
      <c r="AX475" s="28">
        <f>F475*AP475</f>
        <v>0</v>
      </c>
      <c r="AY475" s="30" t="s">
        <v>156</v>
      </c>
      <c r="AZ475" s="30" t="s">
        <v>876</v>
      </c>
      <c r="BA475" s="10" t="s">
        <v>242</v>
      </c>
      <c r="BC475" s="28">
        <f>AW475+AX475</f>
        <v>0</v>
      </c>
      <c r="BD475" s="28">
        <f>G475/(100-BE475)*100</f>
        <v>0</v>
      </c>
      <c r="BE475" s="28">
        <v>0</v>
      </c>
      <c r="BF475" s="28">
        <f>475</f>
        <v>475</v>
      </c>
      <c r="BH475" s="28">
        <f>F475*AO475</f>
        <v>0</v>
      </c>
      <c r="BI475" s="28">
        <f>F475*AP475</f>
        <v>0</v>
      </c>
      <c r="BJ475" s="28">
        <f>F475*G475</f>
        <v>0</v>
      </c>
      <c r="BK475" s="28"/>
      <c r="BL475" s="28">
        <v>764</v>
      </c>
      <c r="BW475" s="28">
        <v>21</v>
      </c>
    </row>
    <row r="476" spans="1:75" x14ac:dyDescent="0.25">
      <c r="A476" s="31"/>
      <c r="C476" s="32" t="s">
        <v>894</v>
      </c>
      <c r="D476" s="32" t="s">
        <v>52</v>
      </c>
      <c r="F476" s="33">
        <v>45.7</v>
      </c>
      <c r="K476" s="34"/>
    </row>
    <row r="477" spans="1:75" ht="13.5" customHeight="1" x14ac:dyDescent="0.25">
      <c r="A477" s="2" t="s">
        <v>895</v>
      </c>
      <c r="B477" s="3" t="s">
        <v>896</v>
      </c>
      <c r="C477" s="83" t="s">
        <v>897</v>
      </c>
      <c r="D477" s="80"/>
      <c r="E477" s="3" t="s">
        <v>78</v>
      </c>
      <c r="F477" s="28">
        <v>45.7</v>
      </c>
      <c r="G477" s="28">
        <v>0</v>
      </c>
      <c r="H477" s="28">
        <f>F477*AO477</f>
        <v>0</v>
      </c>
      <c r="I477" s="28">
        <f>F477*AP477</f>
        <v>0</v>
      </c>
      <c r="J477" s="28">
        <f>F477*G477</f>
        <v>0</v>
      </c>
      <c r="K477" s="29" t="s">
        <v>61</v>
      </c>
      <c r="Z477" s="28">
        <f>IF(AQ477="5",BJ477,0)</f>
        <v>0</v>
      </c>
      <c r="AB477" s="28">
        <f>IF(AQ477="1",BH477,0)</f>
        <v>0</v>
      </c>
      <c r="AC477" s="28">
        <f>IF(AQ477="1",BI477,0)</f>
        <v>0</v>
      </c>
      <c r="AD477" s="28">
        <f>IF(AQ477="7",BH477,0)</f>
        <v>0</v>
      </c>
      <c r="AE477" s="28">
        <f>IF(AQ477="7",BI477,0)</f>
        <v>0</v>
      </c>
      <c r="AF477" s="28">
        <f>IF(AQ477="2",BH477,0)</f>
        <v>0</v>
      </c>
      <c r="AG477" s="28">
        <f>IF(AQ477="2",BI477,0)</f>
        <v>0</v>
      </c>
      <c r="AH477" s="28">
        <f>IF(AQ477="0",BJ477,0)</f>
        <v>0</v>
      </c>
      <c r="AI477" s="10" t="s">
        <v>236</v>
      </c>
      <c r="AJ477" s="28">
        <f>IF(AN477=0,J477,0)</f>
        <v>0</v>
      </c>
      <c r="AK477" s="28">
        <f>IF(AN477=12,J477,0)</f>
        <v>0</v>
      </c>
      <c r="AL477" s="28">
        <f>IF(AN477=21,J477,0)</f>
        <v>0</v>
      </c>
      <c r="AN477" s="28">
        <v>21</v>
      </c>
      <c r="AO477" s="28">
        <f>G477*0.75</f>
        <v>0</v>
      </c>
      <c r="AP477" s="28">
        <f>G477*(1-0.75)</f>
        <v>0</v>
      </c>
      <c r="AQ477" s="30" t="s">
        <v>98</v>
      </c>
      <c r="AV477" s="28">
        <f>AW477+AX477</f>
        <v>0</v>
      </c>
      <c r="AW477" s="28">
        <f>F477*AO477</f>
        <v>0</v>
      </c>
      <c r="AX477" s="28">
        <f>F477*AP477</f>
        <v>0</v>
      </c>
      <c r="AY477" s="30" t="s">
        <v>156</v>
      </c>
      <c r="AZ477" s="30" t="s">
        <v>876</v>
      </c>
      <c r="BA477" s="10" t="s">
        <v>242</v>
      </c>
      <c r="BC477" s="28">
        <f>AW477+AX477</f>
        <v>0</v>
      </c>
      <c r="BD477" s="28">
        <f>G477/(100-BE477)*100</f>
        <v>0</v>
      </c>
      <c r="BE477" s="28">
        <v>0</v>
      </c>
      <c r="BF477" s="28">
        <f>477</f>
        <v>477</v>
      </c>
      <c r="BH477" s="28">
        <f>F477*AO477</f>
        <v>0</v>
      </c>
      <c r="BI477" s="28">
        <f>F477*AP477</f>
        <v>0</v>
      </c>
      <c r="BJ477" s="28">
        <f>F477*G477</f>
        <v>0</v>
      </c>
      <c r="BK477" s="28"/>
      <c r="BL477" s="28">
        <v>764</v>
      </c>
      <c r="BW477" s="28">
        <v>21</v>
      </c>
    </row>
    <row r="478" spans="1:75" x14ac:dyDescent="0.25">
      <c r="A478" s="31"/>
      <c r="C478" s="32" t="s">
        <v>894</v>
      </c>
      <c r="D478" s="32" t="s">
        <v>52</v>
      </c>
      <c r="F478" s="33">
        <v>45.7</v>
      </c>
      <c r="K478" s="34"/>
    </row>
    <row r="479" spans="1:75" ht="13.5" customHeight="1" x14ac:dyDescent="0.25">
      <c r="A479" s="2" t="s">
        <v>898</v>
      </c>
      <c r="B479" s="3" t="s">
        <v>899</v>
      </c>
      <c r="C479" s="83" t="s">
        <v>900</v>
      </c>
      <c r="D479" s="80"/>
      <c r="E479" s="3" t="s">
        <v>78</v>
      </c>
      <c r="F479" s="28">
        <v>45.7</v>
      </c>
      <c r="G479" s="28">
        <v>0</v>
      </c>
      <c r="H479" s="28">
        <f>F479*AO479</f>
        <v>0</v>
      </c>
      <c r="I479" s="28">
        <f>F479*AP479</f>
        <v>0</v>
      </c>
      <c r="J479" s="28">
        <f>F479*G479</f>
        <v>0</v>
      </c>
      <c r="K479" s="29" t="s">
        <v>61</v>
      </c>
      <c r="Z479" s="28">
        <f>IF(AQ479="5",BJ479,0)</f>
        <v>0</v>
      </c>
      <c r="AB479" s="28">
        <f>IF(AQ479="1",BH479,0)</f>
        <v>0</v>
      </c>
      <c r="AC479" s="28">
        <f>IF(AQ479="1",BI479,0)</f>
        <v>0</v>
      </c>
      <c r="AD479" s="28">
        <f>IF(AQ479="7",BH479,0)</f>
        <v>0</v>
      </c>
      <c r="AE479" s="28">
        <f>IF(AQ479="7",BI479,0)</f>
        <v>0</v>
      </c>
      <c r="AF479" s="28">
        <f>IF(AQ479="2",BH479,0)</f>
        <v>0</v>
      </c>
      <c r="AG479" s="28">
        <f>IF(AQ479="2",BI479,0)</f>
        <v>0</v>
      </c>
      <c r="AH479" s="28">
        <f>IF(AQ479="0",BJ479,0)</f>
        <v>0</v>
      </c>
      <c r="AI479" s="10" t="s">
        <v>236</v>
      </c>
      <c r="AJ479" s="28">
        <f>IF(AN479=0,J479,0)</f>
        <v>0</v>
      </c>
      <c r="AK479" s="28">
        <f>IF(AN479=12,J479,0)</f>
        <v>0</v>
      </c>
      <c r="AL479" s="28">
        <f>IF(AN479=21,J479,0)</f>
        <v>0</v>
      </c>
      <c r="AN479" s="28">
        <v>21</v>
      </c>
      <c r="AO479" s="28">
        <f>G479*0.432377241</f>
        <v>0</v>
      </c>
      <c r="AP479" s="28">
        <f>G479*(1-0.432377241)</f>
        <v>0</v>
      </c>
      <c r="AQ479" s="30" t="s">
        <v>98</v>
      </c>
      <c r="AV479" s="28">
        <f>AW479+AX479</f>
        <v>0</v>
      </c>
      <c r="AW479" s="28">
        <f>F479*AO479</f>
        <v>0</v>
      </c>
      <c r="AX479" s="28">
        <f>F479*AP479</f>
        <v>0</v>
      </c>
      <c r="AY479" s="30" t="s">
        <v>156</v>
      </c>
      <c r="AZ479" s="30" t="s">
        <v>876</v>
      </c>
      <c r="BA479" s="10" t="s">
        <v>242</v>
      </c>
      <c r="BC479" s="28">
        <f>AW479+AX479</f>
        <v>0</v>
      </c>
      <c r="BD479" s="28">
        <f>G479/(100-BE479)*100</f>
        <v>0</v>
      </c>
      <c r="BE479" s="28">
        <v>0</v>
      </c>
      <c r="BF479" s="28">
        <f>479</f>
        <v>479</v>
      </c>
      <c r="BH479" s="28">
        <f>F479*AO479</f>
        <v>0</v>
      </c>
      <c r="BI479" s="28">
        <f>F479*AP479</f>
        <v>0</v>
      </c>
      <c r="BJ479" s="28">
        <f>F479*G479</f>
        <v>0</v>
      </c>
      <c r="BK479" s="28"/>
      <c r="BL479" s="28">
        <v>764</v>
      </c>
      <c r="BW479" s="28">
        <v>21</v>
      </c>
    </row>
    <row r="480" spans="1:75" x14ac:dyDescent="0.25">
      <c r="A480" s="31"/>
      <c r="C480" s="32" t="s">
        <v>894</v>
      </c>
      <c r="D480" s="32" t="s">
        <v>52</v>
      </c>
      <c r="F480" s="33">
        <v>45.7</v>
      </c>
      <c r="K480" s="34"/>
    </row>
    <row r="481" spans="1:75" ht="13.5" customHeight="1" x14ac:dyDescent="0.25">
      <c r="A481" s="2" t="s">
        <v>901</v>
      </c>
      <c r="B481" s="3" t="s">
        <v>899</v>
      </c>
      <c r="C481" s="83" t="s">
        <v>902</v>
      </c>
      <c r="D481" s="80"/>
      <c r="E481" s="3" t="s">
        <v>78</v>
      </c>
      <c r="F481" s="28">
        <v>45.7</v>
      </c>
      <c r="G481" s="28">
        <v>0</v>
      </c>
      <c r="H481" s="28">
        <f>F481*AO481</f>
        <v>0</v>
      </c>
      <c r="I481" s="28">
        <f>F481*AP481</f>
        <v>0</v>
      </c>
      <c r="J481" s="28">
        <f>F481*G481</f>
        <v>0</v>
      </c>
      <c r="K481" s="29" t="s">
        <v>61</v>
      </c>
      <c r="Z481" s="28">
        <f>IF(AQ481="5",BJ481,0)</f>
        <v>0</v>
      </c>
      <c r="AB481" s="28">
        <f>IF(AQ481="1",BH481,0)</f>
        <v>0</v>
      </c>
      <c r="AC481" s="28">
        <f>IF(AQ481="1",BI481,0)</f>
        <v>0</v>
      </c>
      <c r="AD481" s="28">
        <f>IF(AQ481="7",BH481,0)</f>
        <v>0</v>
      </c>
      <c r="AE481" s="28">
        <f>IF(AQ481="7",BI481,0)</f>
        <v>0</v>
      </c>
      <c r="AF481" s="28">
        <f>IF(AQ481="2",BH481,0)</f>
        <v>0</v>
      </c>
      <c r="AG481" s="28">
        <f>IF(AQ481="2",BI481,0)</f>
        <v>0</v>
      </c>
      <c r="AH481" s="28">
        <f>IF(AQ481="0",BJ481,0)</f>
        <v>0</v>
      </c>
      <c r="AI481" s="10" t="s">
        <v>236</v>
      </c>
      <c r="AJ481" s="28">
        <f>IF(AN481=0,J481,0)</f>
        <v>0</v>
      </c>
      <c r="AK481" s="28">
        <f>IF(AN481=12,J481,0)</f>
        <v>0</v>
      </c>
      <c r="AL481" s="28">
        <f>IF(AN481=21,J481,0)</f>
        <v>0</v>
      </c>
      <c r="AN481" s="28">
        <v>21</v>
      </c>
      <c r="AO481" s="28">
        <f>G481*0.733333333</f>
        <v>0</v>
      </c>
      <c r="AP481" s="28">
        <f>G481*(1-0.733333333)</f>
        <v>0</v>
      </c>
      <c r="AQ481" s="30" t="s">
        <v>98</v>
      </c>
      <c r="AV481" s="28">
        <f>AW481+AX481</f>
        <v>0</v>
      </c>
      <c r="AW481" s="28">
        <f>F481*AO481</f>
        <v>0</v>
      </c>
      <c r="AX481" s="28">
        <f>F481*AP481</f>
        <v>0</v>
      </c>
      <c r="AY481" s="30" t="s">
        <v>156</v>
      </c>
      <c r="AZ481" s="30" t="s">
        <v>876</v>
      </c>
      <c r="BA481" s="10" t="s">
        <v>242</v>
      </c>
      <c r="BC481" s="28">
        <f>AW481+AX481</f>
        <v>0</v>
      </c>
      <c r="BD481" s="28">
        <f>G481/(100-BE481)*100</f>
        <v>0</v>
      </c>
      <c r="BE481" s="28">
        <v>0</v>
      </c>
      <c r="BF481" s="28">
        <f>481</f>
        <v>481</v>
      </c>
      <c r="BH481" s="28">
        <f>F481*AO481</f>
        <v>0</v>
      </c>
      <c r="BI481" s="28">
        <f>F481*AP481</f>
        <v>0</v>
      </c>
      <c r="BJ481" s="28">
        <f>F481*G481</f>
        <v>0</v>
      </c>
      <c r="BK481" s="28"/>
      <c r="BL481" s="28">
        <v>764</v>
      </c>
      <c r="BW481" s="28">
        <v>21</v>
      </c>
    </row>
    <row r="482" spans="1:75" x14ac:dyDescent="0.25">
      <c r="A482" s="31"/>
      <c r="C482" s="32" t="s">
        <v>894</v>
      </c>
      <c r="D482" s="32" t="s">
        <v>52</v>
      </c>
      <c r="F482" s="33">
        <v>45.7</v>
      </c>
      <c r="K482" s="34"/>
    </row>
    <row r="483" spans="1:75" ht="13.5" customHeight="1" x14ac:dyDescent="0.25">
      <c r="A483" s="2" t="s">
        <v>903</v>
      </c>
      <c r="B483" s="3" t="s">
        <v>904</v>
      </c>
      <c r="C483" s="83" t="s">
        <v>905</v>
      </c>
      <c r="D483" s="80"/>
      <c r="E483" s="3" t="s">
        <v>78</v>
      </c>
      <c r="F483" s="28">
        <v>20.675999999999998</v>
      </c>
      <c r="G483" s="28">
        <v>0</v>
      </c>
      <c r="H483" s="28">
        <f>F483*AO483</f>
        <v>0</v>
      </c>
      <c r="I483" s="28">
        <f>F483*AP483</f>
        <v>0</v>
      </c>
      <c r="J483" s="28">
        <f>F483*G483</f>
        <v>0</v>
      </c>
      <c r="K483" s="29" t="s">
        <v>61</v>
      </c>
      <c r="Z483" s="28">
        <f>IF(AQ483="5",BJ483,0)</f>
        <v>0</v>
      </c>
      <c r="AB483" s="28">
        <f>IF(AQ483="1",BH483,0)</f>
        <v>0</v>
      </c>
      <c r="AC483" s="28">
        <f>IF(AQ483="1",BI483,0)</f>
        <v>0</v>
      </c>
      <c r="AD483" s="28">
        <f>IF(AQ483="7",BH483,0)</f>
        <v>0</v>
      </c>
      <c r="AE483" s="28">
        <f>IF(AQ483="7",BI483,0)</f>
        <v>0</v>
      </c>
      <c r="AF483" s="28">
        <f>IF(AQ483="2",BH483,0)</f>
        <v>0</v>
      </c>
      <c r="AG483" s="28">
        <f>IF(AQ483="2",BI483,0)</f>
        <v>0</v>
      </c>
      <c r="AH483" s="28">
        <f>IF(AQ483="0",BJ483,0)</f>
        <v>0</v>
      </c>
      <c r="AI483" s="10" t="s">
        <v>236</v>
      </c>
      <c r="AJ483" s="28">
        <f>IF(AN483=0,J483,0)</f>
        <v>0</v>
      </c>
      <c r="AK483" s="28">
        <f>IF(AN483=12,J483,0)</f>
        <v>0</v>
      </c>
      <c r="AL483" s="28">
        <f>IF(AN483=21,J483,0)</f>
        <v>0</v>
      </c>
      <c r="AN483" s="28">
        <v>21</v>
      </c>
      <c r="AO483" s="28">
        <f>G483*0.777777778</f>
        <v>0</v>
      </c>
      <c r="AP483" s="28">
        <f>G483*(1-0.777777778)</f>
        <v>0</v>
      </c>
      <c r="AQ483" s="30" t="s">
        <v>98</v>
      </c>
      <c r="AV483" s="28">
        <f>AW483+AX483</f>
        <v>0</v>
      </c>
      <c r="AW483" s="28">
        <f>F483*AO483</f>
        <v>0</v>
      </c>
      <c r="AX483" s="28">
        <f>F483*AP483</f>
        <v>0</v>
      </c>
      <c r="AY483" s="30" t="s">
        <v>156</v>
      </c>
      <c r="AZ483" s="30" t="s">
        <v>876</v>
      </c>
      <c r="BA483" s="10" t="s">
        <v>242</v>
      </c>
      <c r="BC483" s="28">
        <f>AW483+AX483</f>
        <v>0</v>
      </c>
      <c r="BD483" s="28">
        <f>G483/(100-BE483)*100</f>
        <v>0</v>
      </c>
      <c r="BE483" s="28">
        <v>0</v>
      </c>
      <c r="BF483" s="28">
        <f>483</f>
        <v>483</v>
      </c>
      <c r="BH483" s="28">
        <f>F483*AO483</f>
        <v>0</v>
      </c>
      <c r="BI483" s="28">
        <f>F483*AP483</f>
        <v>0</v>
      </c>
      <c r="BJ483" s="28">
        <f>F483*G483</f>
        <v>0</v>
      </c>
      <c r="BK483" s="28"/>
      <c r="BL483" s="28">
        <v>764</v>
      </c>
      <c r="BW483" s="28">
        <v>21</v>
      </c>
    </row>
    <row r="484" spans="1:75" x14ac:dyDescent="0.25">
      <c r="A484" s="31"/>
      <c r="C484" s="32" t="s">
        <v>906</v>
      </c>
      <c r="D484" s="32" t="s">
        <v>52</v>
      </c>
      <c r="F484" s="33">
        <v>20.675999999999998</v>
      </c>
      <c r="K484" s="34"/>
    </row>
    <row r="485" spans="1:75" ht="13.5" customHeight="1" x14ac:dyDescent="0.25">
      <c r="A485" s="2" t="s">
        <v>907</v>
      </c>
      <c r="B485" s="3" t="s">
        <v>908</v>
      </c>
      <c r="C485" s="83" t="s">
        <v>909</v>
      </c>
      <c r="D485" s="80"/>
      <c r="E485" s="3" t="s">
        <v>78</v>
      </c>
      <c r="F485" s="28">
        <v>20.696999999999999</v>
      </c>
      <c r="G485" s="28">
        <v>0</v>
      </c>
      <c r="H485" s="28">
        <f>F485*AO485</f>
        <v>0</v>
      </c>
      <c r="I485" s="28">
        <f>F485*AP485</f>
        <v>0</v>
      </c>
      <c r="J485" s="28">
        <f>F485*G485</f>
        <v>0</v>
      </c>
      <c r="K485" s="29" t="s">
        <v>61</v>
      </c>
      <c r="Z485" s="28">
        <f>IF(AQ485="5",BJ485,0)</f>
        <v>0</v>
      </c>
      <c r="AB485" s="28">
        <f>IF(AQ485="1",BH485,0)</f>
        <v>0</v>
      </c>
      <c r="AC485" s="28">
        <f>IF(AQ485="1",BI485,0)</f>
        <v>0</v>
      </c>
      <c r="AD485" s="28">
        <f>IF(AQ485="7",BH485,0)</f>
        <v>0</v>
      </c>
      <c r="AE485" s="28">
        <f>IF(AQ485="7",BI485,0)</f>
        <v>0</v>
      </c>
      <c r="AF485" s="28">
        <f>IF(AQ485="2",BH485,0)</f>
        <v>0</v>
      </c>
      <c r="AG485" s="28">
        <f>IF(AQ485="2",BI485,0)</f>
        <v>0</v>
      </c>
      <c r="AH485" s="28">
        <f>IF(AQ485="0",BJ485,0)</f>
        <v>0</v>
      </c>
      <c r="AI485" s="10" t="s">
        <v>236</v>
      </c>
      <c r="AJ485" s="28">
        <f>IF(AN485=0,J485,0)</f>
        <v>0</v>
      </c>
      <c r="AK485" s="28">
        <f>IF(AN485=12,J485,0)</f>
        <v>0</v>
      </c>
      <c r="AL485" s="28">
        <f>IF(AN485=21,J485,0)</f>
        <v>0</v>
      </c>
      <c r="AN485" s="28">
        <v>21</v>
      </c>
      <c r="AO485" s="28">
        <f>G485*0.571428571</f>
        <v>0</v>
      </c>
      <c r="AP485" s="28">
        <f>G485*(1-0.571428571)</f>
        <v>0</v>
      </c>
      <c r="AQ485" s="30" t="s">
        <v>98</v>
      </c>
      <c r="AV485" s="28">
        <f>AW485+AX485</f>
        <v>0</v>
      </c>
      <c r="AW485" s="28">
        <f>F485*AO485</f>
        <v>0</v>
      </c>
      <c r="AX485" s="28">
        <f>F485*AP485</f>
        <v>0</v>
      </c>
      <c r="AY485" s="30" t="s">
        <v>156</v>
      </c>
      <c r="AZ485" s="30" t="s">
        <v>876</v>
      </c>
      <c r="BA485" s="10" t="s">
        <v>242</v>
      </c>
      <c r="BC485" s="28">
        <f>AW485+AX485</f>
        <v>0</v>
      </c>
      <c r="BD485" s="28">
        <f>G485/(100-BE485)*100</f>
        <v>0</v>
      </c>
      <c r="BE485" s="28">
        <v>0</v>
      </c>
      <c r="BF485" s="28">
        <f>485</f>
        <v>485</v>
      </c>
      <c r="BH485" s="28">
        <f>F485*AO485</f>
        <v>0</v>
      </c>
      <c r="BI485" s="28">
        <f>F485*AP485</f>
        <v>0</v>
      </c>
      <c r="BJ485" s="28">
        <f>F485*G485</f>
        <v>0</v>
      </c>
      <c r="BK485" s="28"/>
      <c r="BL485" s="28">
        <v>764</v>
      </c>
      <c r="BW485" s="28">
        <v>21</v>
      </c>
    </row>
    <row r="486" spans="1:75" x14ac:dyDescent="0.25">
      <c r="A486" s="31"/>
      <c r="C486" s="32" t="s">
        <v>910</v>
      </c>
      <c r="D486" s="32" t="s">
        <v>52</v>
      </c>
      <c r="F486" s="33">
        <v>20.696999999999999</v>
      </c>
      <c r="K486" s="34"/>
    </row>
    <row r="487" spans="1:75" ht="13.5" customHeight="1" x14ac:dyDescent="0.25">
      <c r="A487" s="2" t="s">
        <v>911</v>
      </c>
      <c r="B487" s="3" t="s">
        <v>912</v>
      </c>
      <c r="C487" s="83" t="s">
        <v>913</v>
      </c>
      <c r="D487" s="80"/>
      <c r="E487" s="3" t="s">
        <v>78</v>
      </c>
      <c r="F487" s="28">
        <v>20.760999999999999</v>
      </c>
      <c r="G487" s="28">
        <v>0</v>
      </c>
      <c r="H487" s="28">
        <f>F487*AO487</f>
        <v>0</v>
      </c>
      <c r="I487" s="28">
        <f>F487*AP487</f>
        <v>0</v>
      </c>
      <c r="J487" s="28">
        <f>F487*G487</f>
        <v>0</v>
      </c>
      <c r="K487" s="29" t="s">
        <v>61</v>
      </c>
      <c r="Z487" s="28">
        <f>IF(AQ487="5",BJ487,0)</f>
        <v>0</v>
      </c>
      <c r="AB487" s="28">
        <f>IF(AQ487="1",BH487,0)</f>
        <v>0</v>
      </c>
      <c r="AC487" s="28">
        <f>IF(AQ487="1",BI487,0)</f>
        <v>0</v>
      </c>
      <c r="AD487" s="28">
        <f>IF(AQ487="7",BH487,0)</f>
        <v>0</v>
      </c>
      <c r="AE487" s="28">
        <f>IF(AQ487="7",BI487,0)</f>
        <v>0</v>
      </c>
      <c r="AF487" s="28">
        <f>IF(AQ487="2",BH487,0)</f>
        <v>0</v>
      </c>
      <c r="AG487" s="28">
        <f>IF(AQ487="2",BI487,0)</f>
        <v>0</v>
      </c>
      <c r="AH487" s="28">
        <f>IF(AQ487="0",BJ487,0)</f>
        <v>0</v>
      </c>
      <c r="AI487" s="10" t="s">
        <v>236</v>
      </c>
      <c r="AJ487" s="28">
        <f>IF(AN487=0,J487,0)</f>
        <v>0</v>
      </c>
      <c r="AK487" s="28">
        <f>IF(AN487=12,J487,0)</f>
        <v>0</v>
      </c>
      <c r="AL487" s="28">
        <f>IF(AN487=21,J487,0)</f>
        <v>0</v>
      </c>
      <c r="AN487" s="28">
        <v>21</v>
      </c>
      <c r="AO487" s="28">
        <f>G487*0.769230769</f>
        <v>0</v>
      </c>
      <c r="AP487" s="28">
        <f>G487*(1-0.769230769)</f>
        <v>0</v>
      </c>
      <c r="AQ487" s="30" t="s">
        <v>98</v>
      </c>
      <c r="AV487" s="28">
        <f>AW487+AX487</f>
        <v>0</v>
      </c>
      <c r="AW487" s="28">
        <f>F487*AO487</f>
        <v>0</v>
      </c>
      <c r="AX487" s="28">
        <f>F487*AP487</f>
        <v>0</v>
      </c>
      <c r="AY487" s="30" t="s">
        <v>156</v>
      </c>
      <c r="AZ487" s="30" t="s">
        <v>876</v>
      </c>
      <c r="BA487" s="10" t="s">
        <v>242</v>
      </c>
      <c r="BC487" s="28">
        <f>AW487+AX487</f>
        <v>0</v>
      </c>
      <c r="BD487" s="28">
        <f>G487/(100-BE487)*100</f>
        <v>0</v>
      </c>
      <c r="BE487" s="28">
        <v>0</v>
      </c>
      <c r="BF487" s="28">
        <f>487</f>
        <v>487</v>
      </c>
      <c r="BH487" s="28">
        <f>F487*AO487</f>
        <v>0</v>
      </c>
      <c r="BI487" s="28">
        <f>F487*AP487</f>
        <v>0</v>
      </c>
      <c r="BJ487" s="28">
        <f>F487*G487</f>
        <v>0</v>
      </c>
      <c r="BK487" s="28"/>
      <c r="BL487" s="28">
        <v>764</v>
      </c>
      <c r="BW487" s="28">
        <v>21</v>
      </c>
    </row>
    <row r="488" spans="1:75" x14ac:dyDescent="0.25">
      <c r="A488" s="31"/>
      <c r="C488" s="32" t="s">
        <v>914</v>
      </c>
      <c r="D488" s="32" t="s">
        <v>52</v>
      </c>
      <c r="F488" s="33">
        <v>20.760999999999999</v>
      </c>
      <c r="K488" s="34"/>
    </row>
    <row r="489" spans="1:75" ht="13.5" customHeight="1" x14ac:dyDescent="0.25">
      <c r="A489" s="2" t="s">
        <v>915</v>
      </c>
      <c r="B489" s="3" t="s">
        <v>916</v>
      </c>
      <c r="C489" s="83" t="s">
        <v>917</v>
      </c>
      <c r="D489" s="80"/>
      <c r="E489" s="3" t="s">
        <v>78</v>
      </c>
      <c r="F489" s="28">
        <v>20.172999999999998</v>
      </c>
      <c r="G489" s="28">
        <v>0</v>
      </c>
      <c r="H489" s="28">
        <f>F489*AO489</f>
        <v>0</v>
      </c>
      <c r="I489" s="28">
        <f>F489*AP489</f>
        <v>0</v>
      </c>
      <c r="J489" s="28">
        <f>F489*G489</f>
        <v>0</v>
      </c>
      <c r="K489" s="29" t="s">
        <v>61</v>
      </c>
      <c r="Z489" s="28">
        <f>IF(AQ489="5",BJ489,0)</f>
        <v>0</v>
      </c>
      <c r="AB489" s="28">
        <f>IF(AQ489="1",BH489,0)</f>
        <v>0</v>
      </c>
      <c r="AC489" s="28">
        <f>IF(AQ489="1",BI489,0)</f>
        <v>0</v>
      </c>
      <c r="AD489" s="28">
        <f>IF(AQ489="7",BH489,0)</f>
        <v>0</v>
      </c>
      <c r="AE489" s="28">
        <f>IF(AQ489="7",BI489,0)</f>
        <v>0</v>
      </c>
      <c r="AF489" s="28">
        <f>IF(AQ489="2",BH489,0)</f>
        <v>0</v>
      </c>
      <c r="AG489" s="28">
        <f>IF(AQ489="2",BI489,0)</f>
        <v>0</v>
      </c>
      <c r="AH489" s="28">
        <f>IF(AQ489="0",BJ489,0)</f>
        <v>0</v>
      </c>
      <c r="AI489" s="10" t="s">
        <v>236</v>
      </c>
      <c r="AJ489" s="28">
        <f>IF(AN489=0,J489,0)</f>
        <v>0</v>
      </c>
      <c r="AK489" s="28">
        <f>IF(AN489=12,J489,0)</f>
        <v>0</v>
      </c>
      <c r="AL489" s="28">
        <f>IF(AN489=21,J489,0)</f>
        <v>0</v>
      </c>
      <c r="AN489" s="28">
        <v>21</v>
      </c>
      <c r="AO489" s="28">
        <f>G489*0.75</f>
        <v>0</v>
      </c>
      <c r="AP489" s="28">
        <f>G489*(1-0.75)</f>
        <v>0</v>
      </c>
      <c r="AQ489" s="30" t="s">
        <v>98</v>
      </c>
      <c r="AV489" s="28">
        <f>AW489+AX489</f>
        <v>0</v>
      </c>
      <c r="AW489" s="28">
        <f>F489*AO489</f>
        <v>0</v>
      </c>
      <c r="AX489" s="28">
        <f>F489*AP489</f>
        <v>0</v>
      </c>
      <c r="AY489" s="30" t="s">
        <v>156</v>
      </c>
      <c r="AZ489" s="30" t="s">
        <v>876</v>
      </c>
      <c r="BA489" s="10" t="s">
        <v>242</v>
      </c>
      <c r="BC489" s="28">
        <f>AW489+AX489</f>
        <v>0</v>
      </c>
      <c r="BD489" s="28">
        <f>G489/(100-BE489)*100</f>
        <v>0</v>
      </c>
      <c r="BE489" s="28">
        <v>0</v>
      </c>
      <c r="BF489" s="28">
        <f>489</f>
        <v>489</v>
      </c>
      <c r="BH489" s="28">
        <f>F489*AO489</f>
        <v>0</v>
      </c>
      <c r="BI489" s="28">
        <f>F489*AP489</f>
        <v>0</v>
      </c>
      <c r="BJ489" s="28">
        <f>F489*G489</f>
        <v>0</v>
      </c>
      <c r="BK489" s="28"/>
      <c r="BL489" s="28">
        <v>764</v>
      </c>
      <c r="BW489" s="28">
        <v>21</v>
      </c>
    </row>
    <row r="490" spans="1:75" x14ac:dyDescent="0.25">
      <c r="A490" s="31"/>
      <c r="C490" s="32" t="s">
        <v>918</v>
      </c>
      <c r="D490" s="32" t="s">
        <v>52</v>
      </c>
      <c r="F490" s="33">
        <v>20.172999999999998</v>
      </c>
      <c r="K490" s="34"/>
    </row>
    <row r="491" spans="1:75" ht="13.5" customHeight="1" x14ac:dyDescent="0.25">
      <c r="A491" s="2" t="s">
        <v>919</v>
      </c>
      <c r="B491" s="3" t="s">
        <v>920</v>
      </c>
      <c r="C491" s="83" t="s">
        <v>921</v>
      </c>
      <c r="D491" s="80"/>
      <c r="E491" s="3" t="s">
        <v>78</v>
      </c>
      <c r="F491" s="28">
        <v>20.172999999999998</v>
      </c>
      <c r="G491" s="28">
        <v>0</v>
      </c>
      <c r="H491" s="28">
        <f>F491*AO491</f>
        <v>0</v>
      </c>
      <c r="I491" s="28">
        <f>F491*AP491</f>
        <v>0</v>
      </c>
      <c r="J491" s="28">
        <f>F491*G491</f>
        <v>0</v>
      </c>
      <c r="K491" s="29" t="s">
        <v>61</v>
      </c>
      <c r="Z491" s="28">
        <f>IF(AQ491="5",BJ491,0)</f>
        <v>0</v>
      </c>
      <c r="AB491" s="28">
        <f>IF(AQ491="1",BH491,0)</f>
        <v>0</v>
      </c>
      <c r="AC491" s="28">
        <f>IF(AQ491="1",BI491,0)</f>
        <v>0</v>
      </c>
      <c r="AD491" s="28">
        <f>IF(AQ491="7",BH491,0)</f>
        <v>0</v>
      </c>
      <c r="AE491" s="28">
        <f>IF(AQ491="7",BI491,0)</f>
        <v>0</v>
      </c>
      <c r="AF491" s="28">
        <f>IF(AQ491="2",BH491,0)</f>
        <v>0</v>
      </c>
      <c r="AG491" s="28">
        <f>IF(AQ491="2",BI491,0)</f>
        <v>0</v>
      </c>
      <c r="AH491" s="28">
        <f>IF(AQ491="0",BJ491,0)</f>
        <v>0</v>
      </c>
      <c r="AI491" s="10" t="s">
        <v>236</v>
      </c>
      <c r="AJ491" s="28">
        <f>IF(AN491=0,J491,0)</f>
        <v>0</v>
      </c>
      <c r="AK491" s="28">
        <f>IF(AN491=12,J491,0)</f>
        <v>0</v>
      </c>
      <c r="AL491" s="28">
        <f>IF(AN491=21,J491,0)</f>
        <v>0</v>
      </c>
      <c r="AN491" s="28">
        <v>21</v>
      </c>
      <c r="AO491" s="28">
        <f>G491*0.75</f>
        <v>0</v>
      </c>
      <c r="AP491" s="28">
        <f>G491*(1-0.75)</f>
        <v>0</v>
      </c>
      <c r="AQ491" s="30" t="s">
        <v>98</v>
      </c>
      <c r="AV491" s="28">
        <f>AW491+AX491</f>
        <v>0</v>
      </c>
      <c r="AW491" s="28">
        <f>F491*AO491</f>
        <v>0</v>
      </c>
      <c r="AX491" s="28">
        <f>F491*AP491</f>
        <v>0</v>
      </c>
      <c r="AY491" s="30" t="s">
        <v>156</v>
      </c>
      <c r="AZ491" s="30" t="s">
        <v>876</v>
      </c>
      <c r="BA491" s="10" t="s">
        <v>242</v>
      </c>
      <c r="BC491" s="28">
        <f>AW491+AX491</f>
        <v>0</v>
      </c>
      <c r="BD491" s="28">
        <f>G491/(100-BE491)*100</f>
        <v>0</v>
      </c>
      <c r="BE491" s="28">
        <v>0</v>
      </c>
      <c r="BF491" s="28">
        <f>491</f>
        <v>491</v>
      </c>
      <c r="BH491" s="28">
        <f>F491*AO491</f>
        <v>0</v>
      </c>
      <c r="BI491" s="28">
        <f>F491*AP491</f>
        <v>0</v>
      </c>
      <c r="BJ491" s="28">
        <f>F491*G491</f>
        <v>0</v>
      </c>
      <c r="BK491" s="28"/>
      <c r="BL491" s="28">
        <v>764</v>
      </c>
      <c r="BW491" s="28">
        <v>21</v>
      </c>
    </row>
    <row r="492" spans="1:75" x14ac:dyDescent="0.25">
      <c r="A492" s="31"/>
      <c r="C492" s="32" t="s">
        <v>918</v>
      </c>
      <c r="D492" s="32" t="s">
        <v>52</v>
      </c>
      <c r="F492" s="33">
        <v>20.172999999999998</v>
      </c>
      <c r="K492" s="34"/>
    </row>
    <row r="493" spans="1:75" ht="13.5" customHeight="1" x14ac:dyDescent="0.25">
      <c r="A493" s="2" t="s">
        <v>922</v>
      </c>
      <c r="B493" s="3" t="s">
        <v>923</v>
      </c>
      <c r="C493" s="83" t="s">
        <v>924</v>
      </c>
      <c r="D493" s="80"/>
      <c r="E493" s="3" t="s">
        <v>78</v>
      </c>
      <c r="F493" s="28">
        <v>45.7</v>
      </c>
      <c r="G493" s="28">
        <v>0</v>
      </c>
      <c r="H493" s="28">
        <f>F493*AO493</f>
        <v>0</v>
      </c>
      <c r="I493" s="28">
        <f>F493*AP493</f>
        <v>0</v>
      </c>
      <c r="J493" s="28">
        <f>F493*G493</f>
        <v>0</v>
      </c>
      <c r="K493" s="29" t="s">
        <v>61</v>
      </c>
      <c r="Z493" s="28">
        <f>IF(AQ493="5",BJ493,0)</f>
        <v>0</v>
      </c>
      <c r="AB493" s="28">
        <f>IF(AQ493="1",BH493,0)</f>
        <v>0</v>
      </c>
      <c r="AC493" s="28">
        <f>IF(AQ493="1",BI493,0)</f>
        <v>0</v>
      </c>
      <c r="AD493" s="28">
        <f>IF(AQ493="7",BH493,0)</f>
        <v>0</v>
      </c>
      <c r="AE493" s="28">
        <f>IF(AQ493="7",BI493,0)</f>
        <v>0</v>
      </c>
      <c r="AF493" s="28">
        <f>IF(AQ493="2",BH493,0)</f>
        <v>0</v>
      </c>
      <c r="AG493" s="28">
        <f>IF(AQ493="2",BI493,0)</f>
        <v>0</v>
      </c>
      <c r="AH493" s="28">
        <f>IF(AQ493="0",BJ493,0)</f>
        <v>0</v>
      </c>
      <c r="AI493" s="10" t="s">
        <v>236</v>
      </c>
      <c r="AJ493" s="28">
        <f>IF(AN493=0,J493,0)</f>
        <v>0</v>
      </c>
      <c r="AK493" s="28">
        <f>IF(AN493=12,J493,0)</f>
        <v>0</v>
      </c>
      <c r="AL493" s="28">
        <f>IF(AN493=21,J493,0)</f>
        <v>0</v>
      </c>
      <c r="AN493" s="28">
        <v>21</v>
      </c>
      <c r="AO493" s="28">
        <f>G493*0.766560694</f>
        <v>0</v>
      </c>
      <c r="AP493" s="28">
        <f>G493*(1-0.766560694)</f>
        <v>0</v>
      </c>
      <c r="AQ493" s="30" t="s">
        <v>98</v>
      </c>
      <c r="AV493" s="28">
        <f>AW493+AX493</f>
        <v>0</v>
      </c>
      <c r="AW493" s="28">
        <f>F493*AO493</f>
        <v>0</v>
      </c>
      <c r="AX493" s="28">
        <f>F493*AP493</f>
        <v>0</v>
      </c>
      <c r="AY493" s="30" t="s">
        <v>156</v>
      </c>
      <c r="AZ493" s="30" t="s">
        <v>876</v>
      </c>
      <c r="BA493" s="10" t="s">
        <v>242</v>
      </c>
      <c r="BC493" s="28">
        <f>AW493+AX493</f>
        <v>0</v>
      </c>
      <c r="BD493" s="28">
        <f>G493/(100-BE493)*100</f>
        <v>0</v>
      </c>
      <c r="BE493" s="28">
        <v>0</v>
      </c>
      <c r="BF493" s="28">
        <f>493</f>
        <v>493</v>
      </c>
      <c r="BH493" s="28">
        <f>F493*AO493</f>
        <v>0</v>
      </c>
      <c r="BI493" s="28">
        <f>F493*AP493</f>
        <v>0</v>
      </c>
      <c r="BJ493" s="28">
        <f>F493*G493</f>
        <v>0</v>
      </c>
      <c r="BK493" s="28"/>
      <c r="BL493" s="28">
        <v>764</v>
      </c>
      <c r="BW493" s="28">
        <v>21</v>
      </c>
    </row>
    <row r="494" spans="1:75" x14ac:dyDescent="0.25">
      <c r="A494" s="31"/>
      <c r="C494" s="32" t="s">
        <v>925</v>
      </c>
      <c r="D494" s="32" t="s">
        <v>52</v>
      </c>
      <c r="F494" s="33">
        <v>45.7</v>
      </c>
      <c r="K494" s="34"/>
    </row>
    <row r="495" spans="1:75" ht="13.5" customHeight="1" x14ac:dyDescent="0.25">
      <c r="A495" s="2" t="s">
        <v>926</v>
      </c>
      <c r="B495" s="3" t="s">
        <v>927</v>
      </c>
      <c r="C495" s="83" t="s">
        <v>928</v>
      </c>
      <c r="D495" s="80"/>
      <c r="E495" s="3" t="s">
        <v>78</v>
      </c>
      <c r="F495" s="28">
        <v>22.646999999999998</v>
      </c>
      <c r="G495" s="28">
        <v>0</v>
      </c>
      <c r="H495" s="28">
        <f>F495*AO495</f>
        <v>0</v>
      </c>
      <c r="I495" s="28">
        <f>F495*AP495</f>
        <v>0</v>
      </c>
      <c r="J495" s="28">
        <f>F495*G495</f>
        <v>0</v>
      </c>
      <c r="K495" s="29" t="s">
        <v>61</v>
      </c>
      <c r="Z495" s="28">
        <f>IF(AQ495="5",BJ495,0)</f>
        <v>0</v>
      </c>
      <c r="AB495" s="28">
        <f>IF(AQ495="1",BH495,0)</f>
        <v>0</v>
      </c>
      <c r="AC495" s="28">
        <f>IF(AQ495="1",BI495,0)</f>
        <v>0</v>
      </c>
      <c r="AD495" s="28">
        <f>IF(AQ495="7",BH495,0)</f>
        <v>0</v>
      </c>
      <c r="AE495" s="28">
        <f>IF(AQ495="7",BI495,0)</f>
        <v>0</v>
      </c>
      <c r="AF495" s="28">
        <f>IF(AQ495="2",BH495,0)</f>
        <v>0</v>
      </c>
      <c r="AG495" s="28">
        <f>IF(AQ495="2",BI495,0)</f>
        <v>0</v>
      </c>
      <c r="AH495" s="28">
        <f>IF(AQ495="0",BJ495,0)</f>
        <v>0</v>
      </c>
      <c r="AI495" s="10" t="s">
        <v>236</v>
      </c>
      <c r="AJ495" s="28">
        <f>IF(AN495=0,J495,0)</f>
        <v>0</v>
      </c>
      <c r="AK495" s="28">
        <f>IF(AN495=12,J495,0)</f>
        <v>0</v>
      </c>
      <c r="AL495" s="28">
        <f>IF(AN495=21,J495,0)</f>
        <v>0</v>
      </c>
      <c r="AN495" s="28">
        <v>21</v>
      </c>
      <c r="AO495" s="28">
        <f>G495*0.824071932</f>
        <v>0</v>
      </c>
      <c r="AP495" s="28">
        <f>G495*(1-0.824071932)</f>
        <v>0</v>
      </c>
      <c r="AQ495" s="30" t="s">
        <v>98</v>
      </c>
      <c r="AV495" s="28">
        <f>AW495+AX495</f>
        <v>0</v>
      </c>
      <c r="AW495" s="28">
        <f>F495*AO495</f>
        <v>0</v>
      </c>
      <c r="AX495" s="28">
        <f>F495*AP495</f>
        <v>0</v>
      </c>
      <c r="AY495" s="30" t="s">
        <v>156</v>
      </c>
      <c r="AZ495" s="30" t="s">
        <v>876</v>
      </c>
      <c r="BA495" s="10" t="s">
        <v>242</v>
      </c>
      <c r="BC495" s="28">
        <f>AW495+AX495</f>
        <v>0</v>
      </c>
      <c r="BD495" s="28">
        <f>G495/(100-BE495)*100</f>
        <v>0</v>
      </c>
      <c r="BE495" s="28">
        <v>0</v>
      </c>
      <c r="BF495" s="28">
        <f>495</f>
        <v>495</v>
      </c>
      <c r="BH495" s="28">
        <f>F495*AO495</f>
        <v>0</v>
      </c>
      <c r="BI495" s="28">
        <f>F495*AP495</f>
        <v>0</v>
      </c>
      <c r="BJ495" s="28">
        <f>F495*G495</f>
        <v>0</v>
      </c>
      <c r="BK495" s="28"/>
      <c r="BL495" s="28">
        <v>764</v>
      </c>
      <c r="BW495" s="28">
        <v>21</v>
      </c>
    </row>
    <row r="496" spans="1:75" x14ac:dyDescent="0.25">
      <c r="A496" s="31"/>
      <c r="C496" s="32" t="s">
        <v>929</v>
      </c>
      <c r="D496" s="32" t="s">
        <v>52</v>
      </c>
      <c r="F496" s="33">
        <v>22.646999999999998</v>
      </c>
      <c r="K496" s="34"/>
    </row>
    <row r="497" spans="1:75" ht="13.5" customHeight="1" x14ac:dyDescent="0.25">
      <c r="A497" s="2" t="s">
        <v>930</v>
      </c>
      <c r="B497" s="3" t="s">
        <v>931</v>
      </c>
      <c r="C497" s="83" t="s">
        <v>932</v>
      </c>
      <c r="D497" s="80"/>
      <c r="E497" s="3" t="s">
        <v>137</v>
      </c>
      <c r="F497" s="28">
        <v>12</v>
      </c>
      <c r="G497" s="28">
        <v>0</v>
      </c>
      <c r="H497" s="28">
        <f>F497*AO497</f>
        <v>0</v>
      </c>
      <c r="I497" s="28">
        <f>F497*AP497</f>
        <v>0</v>
      </c>
      <c r="J497" s="28">
        <f>F497*G497</f>
        <v>0</v>
      </c>
      <c r="K497" s="29" t="s">
        <v>61</v>
      </c>
      <c r="Z497" s="28">
        <f>IF(AQ497="5",BJ497,0)</f>
        <v>0</v>
      </c>
      <c r="AB497" s="28">
        <f>IF(AQ497="1",BH497,0)</f>
        <v>0</v>
      </c>
      <c r="AC497" s="28">
        <f>IF(AQ497="1",BI497,0)</f>
        <v>0</v>
      </c>
      <c r="AD497" s="28">
        <f>IF(AQ497="7",BH497,0)</f>
        <v>0</v>
      </c>
      <c r="AE497" s="28">
        <f>IF(AQ497="7",BI497,0)</f>
        <v>0</v>
      </c>
      <c r="AF497" s="28">
        <f>IF(AQ497="2",BH497,0)</f>
        <v>0</v>
      </c>
      <c r="AG497" s="28">
        <f>IF(AQ497="2",BI497,0)</f>
        <v>0</v>
      </c>
      <c r="AH497" s="28">
        <f>IF(AQ497="0",BJ497,0)</f>
        <v>0</v>
      </c>
      <c r="AI497" s="10" t="s">
        <v>236</v>
      </c>
      <c r="AJ497" s="28">
        <f>IF(AN497=0,J497,0)</f>
        <v>0</v>
      </c>
      <c r="AK497" s="28">
        <f>IF(AN497=12,J497,0)</f>
        <v>0</v>
      </c>
      <c r="AL497" s="28">
        <f>IF(AN497=21,J497,0)</f>
        <v>0</v>
      </c>
      <c r="AN497" s="28">
        <v>21</v>
      </c>
      <c r="AO497" s="28">
        <f>G497*1</f>
        <v>0</v>
      </c>
      <c r="AP497" s="28">
        <f>G497*(1-1)</f>
        <v>0</v>
      </c>
      <c r="AQ497" s="30" t="s">
        <v>98</v>
      </c>
      <c r="AV497" s="28">
        <f>AW497+AX497</f>
        <v>0</v>
      </c>
      <c r="AW497" s="28">
        <f>F497*AO497</f>
        <v>0</v>
      </c>
      <c r="AX497" s="28">
        <f>F497*AP497</f>
        <v>0</v>
      </c>
      <c r="AY497" s="30" t="s">
        <v>156</v>
      </c>
      <c r="AZ497" s="30" t="s">
        <v>876</v>
      </c>
      <c r="BA497" s="10" t="s">
        <v>242</v>
      </c>
      <c r="BC497" s="28">
        <f>AW497+AX497</f>
        <v>0</v>
      </c>
      <c r="BD497" s="28">
        <f>G497/(100-BE497)*100</f>
        <v>0</v>
      </c>
      <c r="BE497" s="28">
        <v>0</v>
      </c>
      <c r="BF497" s="28">
        <f>497</f>
        <v>497</v>
      </c>
      <c r="BH497" s="28">
        <f>F497*AO497</f>
        <v>0</v>
      </c>
      <c r="BI497" s="28">
        <f>F497*AP497</f>
        <v>0</v>
      </c>
      <c r="BJ497" s="28">
        <f>F497*G497</f>
        <v>0</v>
      </c>
      <c r="BK497" s="28"/>
      <c r="BL497" s="28">
        <v>764</v>
      </c>
      <c r="BW497" s="28">
        <v>21</v>
      </c>
    </row>
    <row r="498" spans="1:75" ht="13.5" customHeight="1" x14ac:dyDescent="0.25">
      <c r="A498" s="2" t="s">
        <v>933</v>
      </c>
      <c r="B498" s="3" t="s">
        <v>908</v>
      </c>
      <c r="C498" s="83" t="s">
        <v>934</v>
      </c>
      <c r="D498" s="80"/>
      <c r="E498" s="3" t="s">
        <v>78</v>
      </c>
      <c r="F498" s="28">
        <v>44.262</v>
      </c>
      <c r="G498" s="28">
        <v>0</v>
      </c>
      <c r="H498" s="28">
        <f>F498*AO498</f>
        <v>0</v>
      </c>
      <c r="I498" s="28">
        <f>F498*AP498</f>
        <v>0</v>
      </c>
      <c r="J498" s="28">
        <f>F498*G498</f>
        <v>0</v>
      </c>
      <c r="K498" s="29" t="s">
        <v>61</v>
      </c>
      <c r="Z498" s="28">
        <f>IF(AQ498="5",BJ498,0)</f>
        <v>0</v>
      </c>
      <c r="AB498" s="28">
        <f>IF(AQ498="1",BH498,0)</f>
        <v>0</v>
      </c>
      <c r="AC498" s="28">
        <f>IF(AQ498="1",BI498,0)</f>
        <v>0</v>
      </c>
      <c r="AD498" s="28">
        <f>IF(AQ498="7",BH498,0)</f>
        <v>0</v>
      </c>
      <c r="AE498" s="28">
        <f>IF(AQ498="7",BI498,0)</f>
        <v>0</v>
      </c>
      <c r="AF498" s="28">
        <f>IF(AQ498="2",BH498,0)</f>
        <v>0</v>
      </c>
      <c r="AG498" s="28">
        <f>IF(AQ498="2",BI498,0)</f>
        <v>0</v>
      </c>
      <c r="AH498" s="28">
        <f>IF(AQ498="0",BJ498,0)</f>
        <v>0</v>
      </c>
      <c r="AI498" s="10" t="s">
        <v>236</v>
      </c>
      <c r="AJ498" s="28">
        <f>IF(AN498=0,J498,0)</f>
        <v>0</v>
      </c>
      <c r="AK498" s="28">
        <f>IF(AN498=12,J498,0)</f>
        <v>0</v>
      </c>
      <c r="AL498" s="28">
        <f>IF(AN498=21,J498,0)</f>
        <v>0</v>
      </c>
      <c r="AN498" s="28">
        <v>21</v>
      </c>
      <c r="AO498" s="28">
        <f>G498*0.625</f>
        <v>0</v>
      </c>
      <c r="AP498" s="28">
        <f>G498*(1-0.625)</f>
        <v>0</v>
      </c>
      <c r="AQ498" s="30" t="s">
        <v>98</v>
      </c>
      <c r="AV498" s="28">
        <f>AW498+AX498</f>
        <v>0</v>
      </c>
      <c r="AW498" s="28">
        <f>F498*AO498</f>
        <v>0</v>
      </c>
      <c r="AX498" s="28">
        <f>F498*AP498</f>
        <v>0</v>
      </c>
      <c r="AY498" s="30" t="s">
        <v>156</v>
      </c>
      <c r="AZ498" s="30" t="s">
        <v>876</v>
      </c>
      <c r="BA498" s="10" t="s">
        <v>242</v>
      </c>
      <c r="BC498" s="28">
        <f>AW498+AX498</f>
        <v>0</v>
      </c>
      <c r="BD498" s="28">
        <f>G498/(100-BE498)*100</f>
        <v>0</v>
      </c>
      <c r="BE498" s="28">
        <v>0</v>
      </c>
      <c r="BF498" s="28">
        <f>498</f>
        <v>498</v>
      </c>
      <c r="BH498" s="28">
        <f>F498*AO498</f>
        <v>0</v>
      </c>
      <c r="BI498" s="28">
        <f>F498*AP498</f>
        <v>0</v>
      </c>
      <c r="BJ498" s="28">
        <f>F498*G498</f>
        <v>0</v>
      </c>
      <c r="BK498" s="28"/>
      <c r="BL498" s="28">
        <v>764</v>
      </c>
      <c r="BW498" s="28">
        <v>21</v>
      </c>
    </row>
    <row r="499" spans="1:75" x14ac:dyDescent="0.25">
      <c r="A499" s="31"/>
      <c r="C499" s="32" t="s">
        <v>935</v>
      </c>
      <c r="D499" s="32" t="s">
        <v>52</v>
      </c>
      <c r="F499" s="33">
        <v>44.262</v>
      </c>
      <c r="K499" s="34"/>
    </row>
    <row r="500" spans="1:75" ht="13.5" customHeight="1" x14ac:dyDescent="0.25">
      <c r="A500" s="2" t="s">
        <v>936</v>
      </c>
      <c r="B500" s="3" t="s">
        <v>937</v>
      </c>
      <c r="C500" s="83" t="s">
        <v>938</v>
      </c>
      <c r="D500" s="80"/>
      <c r="E500" s="3" t="s">
        <v>78</v>
      </c>
      <c r="F500" s="28">
        <v>20.22</v>
      </c>
      <c r="G500" s="28">
        <v>0</v>
      </c>
      <c r="H500" s="28">
        <f>F500*AO500</f>
        <v>0</v>
      </c>
      <c r="I500" s="28">
        <f>F500*AP500</f>
        <v>0</v>
      </c>
      <c r="J500" s="28">
        <f>F500*G500</f>
        <v>0</v>
      </c>
      <c r="K500" s="29" t="s">
        <v>61</v>
      </c>
      <c r="Z500" s="28">
        <f>IF(AQ500="5",BJ500,0)</f>
        <v>0</v>
      </c>
      <c r="AB500" s="28">
        <f>IF(AQ500="1",BH500,0)</f>
        <v>0</v>
      </c>
      <c r="AC500" s="28">
        <f>IF(AQ500="1",BI500,0)</f>
        <v>0</v>
      </c>
      <c r="AD500" s="28">
        <f>IF(AQ500="7",BH500,0)</f>
        <v>0</v>
      </c>
      <c r="AE500" s="28">
        <f>IF(AQ500="7",BI500,0)</f>
        <v>0</v>
      </c>
      <c r="AF500" s="28">
        <f>IF(AQ500="2",BH500,0)</f>
        <v>0</v>
      </c>
      <c r="AG500" s="28">
        <f>IF(AQ500="2",BI500,0)</f>
        <v>0</v>
      </c>
      <c r="AH500" s="28">
        <f>IF(AQ500="0",BJ500,0)</f>
        <v>0</v>
      </c>
      <c r="AI500" s="10" t="s">
        <v>236</v>
      </c>
      <c r="AJ500" s="28">
        <f>IF(AN500=0,J500,0)</f>
        <v>0</v>
      </c>
      <c r="AK500" s="28">
        <f>IF(AN500=12,J500,0)</f>
        <v>0</v>
      </c>
      <c r="AL500" s="28">
        <f>IF(AN500=21,J500,0)</f>
        <v>0</v>
      </c>
      <c r="AN500" s="28">
        <v>21</v>
      </c>
      <c r="AO500" s="28">
        <f>G500*0.833333333</f>
        <v>0</v>
      </c>
      <c r="AP500" s="28">
        <f>G500*(1-0.833333333)</f>
        <v>0</v>
      </c>
      <c r="AQ500" s="30" t="s">
        <v>98</v>
      </c>
      <c r="AV500" s="28">
        <f>AW500+AX500</f>
        <v>0</v>
      </c>
      <c r="AW500" s="28">
        <f>F500*AO500</f>
        <v>0</v>
      </c>
      <c r="AX500" s="28">
        <f>F500*AP500</f>
        <v>0</v>
      </c>
      <c r="AY500" s="30" t="s">
        <v>156</v>
      </c>
      <c r="AZ500" s="30" t="s">
        <v>876</v>
      </c>
      <c r="BA500" s="10" t="s">
        <v>242</v>
      </c>
      <c r="BC500" s="28">
        <f>AW500+AX500</f>
        <v>0</v>
      </c>
      <c r="BD500" s="28">
        <f>G500/(100-BE500)*100</f>
        <v>0</v>
      </c>
      <c r="BE500" s="28">
        <v>0</v>
      </c>
      <c r="BF500" s="28">
        <f>500</f>
        <v>500</v>
      </c>
      <c r="BH500" s="28">
        <f>F500*AO500</f>
        <v>0</v>
      </c>
      <c r="BI500" s="28">
        <f>F500*AP500</f>
        <v>0</v>
      </c>
      <c r="BJ500" s="28">
        <f>F500*G500</f>
        <v>0</v>
      </c>
      <c r="BK500" s="28"/>
      <c r="BL500" s="28">
        <v>764</v>
      </c>
      <c r="BW500" s="28">
        <v>21</v>
      </c>
    </row>
    <row r="501" spans="1:75" x14ac:dyDescent="0.25">
      <c r="A501" s="31"/>
      <c r="C501" s="32" t="s">
        <v>939</v>
      </c>
      <c r="D501" s="32" t="s">
        <v>52</v>
      </c>
      <c r="F501" s="33">
        <v>20.22</v>
      </c>
      <c r="K501" s="34"/>
    </row>
    <row r="502" spans="1:75" ht="27" customHeight="1" x14ac:dyDescent="0.25">
      <c r="A502" s="2" t="s">
        <v>940</v>
      </c>
      <c r="B502" s="3" t="s">
        <v>941</v>
      </c>
      <c r="C502" s="83" t="s">
        <v>942</v>
      </c>
      <c r="D502" s="80"/>
      <c r="E502" s="3" t="s">
        <v>78</v>
      </c>
      <c r="F502" s="28">
        <v>20.306999999999999</v>
      </c>
      <c r="G502" s="28">
        <v>0</v>
      </c>
      <c r="H502" s="28">
        <f>F502*AO502</f>
        <v>0</v>
      </c>
      <c r="I502" s="28">
        <f>F502*AP502</f>
        <v>0</v>
      </c>
      <c r="J502" s="28">
        <f>F502*G502</f>
        <v>0</v>
      </c>
      <c r="K502" s="29" t="s">
        <v>61</v>
      </c>
      <c r="Z502" s="28">
        <f>IF(AQ502="5",BJ502,0)</f>
        <v>0</v>
      </c>
      <c r="AB502" s="28">
        <f>IF(AQ502="1",BH502,0)</f>
        <v>0</v>
      </c>
      <c r="AC502" s="28">
        <f>IF(AQ502="1",BI502,0)</f>
        <v>0</v>
      </c>
      <c r="AD502" s="28">
        <f>IF(AQ502="7",BH502,0)</f>
        <v>0</v>
      </c>
      <c r="AE502" s="28">
        <f>IF(AQ502="7",BI502,0)</f>
        <v>0</v>
      </c>
      <c r="AF502" s="28">
        <f>IF(AQ502="2",BH502,0)</f>
        <v>0</v>
      </c>
      <c r="AG502" s="28">
        <f>IF(AQ502="2",BI502,0)</f>
        <v>0</v>
      </c>
      <c r="AH502" s="28">
        <f>IF(AQ502="0",BJ502,0)</f>
        <v>0</v>
      </c>
      <c r="AI502" s="10" t="s">
        <v>236</v>
      </c>
      <c r="AJ502" s="28">
        <f>IF(AN502=0,J502,0)</f>
        <v>0</v>
      </c>
      <c r="AK502" s="28">
        <f>IF(AN502=12,J502,0)</f>
        <v>0</v>
      </c>
      <c r="AL502" s="28">
        <f>IF(AN502=21,J502,0)</f>
        <v>0</v>
      </c>
      <c r="AN502" s="28">
        <v>21</v>
      </c>
      <c r="AO502" s="28">
        <f>G502*0.815950674</f>
        <v>0</v>
      </c>
      <c r="AP502" s="28">
        <f>G502*(1-0.815950674)</f>
        <v>0</v>
      </c>
      <c r="AQ502" s="30" t="s">
        <v>98</v>
      </c>
      <c r="AV502" s="28">
        <f>AW502+AX502</f>
        <v>0</v>
      </c>
      <c r="AW502" s="28">
        <f>F502*AO502</f>
        <v>0</v>
      </c>
      <c r="AX502" s="28">
        <f>F502*AP502</f>
        <v>0</v>
      </c>
      <c r="AY502" s="30" t="s">
        <v>156</v>
      </c>
      <c r="AZ502" s="30" t="s">
        <v>876</v>
      </c>
      <c r="BA502" s="10" t="s">
        <v>242</v>
      </c>
      <c r="BC502" s="28">
        <f>AW502+AX502</f>
        <v>0</v>
      </c>
      <c r="BD502" s="28">
        <f>G502/(100-BE502)*100</f>
        <v>0</v>
      </c>
      <c r="BE502" s="28">
        <v>0</v>
      </c>
      <c r="BF502" s="28">
        <f>502</f>
        <v>502</v>
      </c>
      <c r="BH502" s="28">
        <f>F502*AO502</f>
        <v>0</v>
      </c>
      <c r="BI502" s="28">
        <f>F502*AP502</f>
        <v>0</v>
      </c>
      <c r="BJ502" s="28">
        <f>F502*G502</f>
        <v>0</v>
      </c>
      <c r="BK502" s="28"/>
      <c r="BL502" s="28">
        <v>764</v>
      </c>
      <c r="BW502" s="28">
        <v>21</v>
      </c>
    </row>
    <row r="503" spans="1:75" x14ac:dyDescent="0.25">
      <c r="A503" s="31"/>
      <c r="C503" s="32" t="s">
        <v>943</v>
      </c>
      <c r="D503" s="32" t="s">
        <v>52</v>
      </c>
      <c r="F503" s="33">
        <v>20.306999999999999</v>
      </c>
      <c r="K503" s="34"/>
    </row>
    <row r="504" spans="1:75" ht="13.5" customHeight="1" x14ac:dyDescent="0.25">
      <c r="A504" s="2" t="s">
        <v>944</v>
      </c>
      <c r="B504" s="3" t="s">
        <v>945</v>
      </c>
      <c r="C504" s="83" t="s">
        <v>946</v>
      </c>
      <c r="D504" s="80"/>
      <c r="E504" s="3" t="s">
        <v>78</v>
      </c>
      <c r="F504" s="28">
        <v>0.35</v>
      </c>
      <c r="G504" s="28">
        <v>0</v>
      </c>
      <c r="H504" s="28">
        <f>F504*AO504</f>
        <v>0</v>
      </c>
      <c r="I504" s="28">
        <f>F504*AP504</f>
        <v>0</v>
      </c>
      <c r="J504" s="28">
        <f>F504*G504</f>
        <v>0</v>
      </c>
      <c r="K504" s="29" t="s">
        <v>61</v>
      </c>
      <c r="Z504" s="28">
        <f>IF(AQ504="5",BJ504,0)</f>
        <v>0</v>
      </c>
      <c r="AB504" s="28">
        <f>IF(AQ504="1",BH504,0)</f>
        <v>0</v>
      </c>
      <c r="AC504" s="28">
        <f>IF(AQ504="1",BI504,0)</f>
        <v>0</v>
      </c>
      <c r="AD504" s="28">
        <f>IF(AQ504="7",BH504,0)</f>
        <v>0</v>
      </c>
      <c r="AE504" s="28">
        <f>IF(AQ504="7",BI504,0)</f>
        <v>0</v>
      </c>
      <c r="AF504" s="28">
        <f>IF(AQ504="2",BH504,0)</f>
        <v>0</v>
      </c>
      <c r="AG504" s="28">
        <f>IF(AQ504="2",BI504,0)</f>
        <v>0</v>
      </c>
      <c r="AH504" s="28">
        <f>IF(AQ504="0",BJ504,0)</f>
        <v>0</v>
      </c>
      <c r="AI504" s="10" t="s">
        <v>236</v>
      </c>
      <c r="AJ504" s="28">
        <f>IF(AN504=0,J504,0)</f>
        <v>0</v>
      </c>
      <c r="AK504" s="28">
        <f>IF(AN504=12,J504,0)</f>
        <v>0</v>
      </c>
      <c r="AL504" s="28">
        <f>IF(AN504=21,J504,0)</f>
        <v>0</v>
      </c>
      <c r="AN504" s="28">
        <v>21</v>
      </c>
      <c r="AO504" s="28">
        <f>G504*0.754098361</f>
        <v>0</v>
      </c>
      <c r="AP504" s="28">
        <f>G504*(1-0.754098361)</f>
        <v>0</v>
      </c>
      <c r="AQ504" s="30" t="s">
        <v>98</v>
      </c>
      <c r="AV504" s="28">
        <f>AW504+AX504</f>
        <v>0</v>
      </c>
      <c r="AW504" s="28">
        <f>F504*AO504</f>
        <v>0</v>
      </c>
      <c r="AX504" s="28">
        <f>F504*AP504</f>
        <v>0</v>
      </c>
      <c r="AY504" s="30" t="s">
        <v>156</v>
      </c>
      <c r="AZ504" s="30" t="s">
        <v>876</v>
      </c>
      <c r="BA504" s="10" t="s">
        <v>242</v>
      </c>
      <c r="BC504" s="28">
        <f>AW504+AX504</f>
        <v>0</v>
      </c>
      <c r="BD504" s="28">
        <f>G504/(100-BE504)*100</f>
        <v>0</v>
      </c>
      <c r="BE504" s="28">
        <v>0</v>
      </c>
      <c r="BF504" s="28">
        <f>504</f>
        <v>504</v>
      </c>
      <c r="BH504" s="28">
        <f>F504*AO504</f>
        <v>0</v>
      </c>
      <c r="BI504" s="28">
        <f>F504*AP504</f>
        <v>0</v>
      </c>
      <c r="BJ504" s="28">
        <f>F504*G504</f>
        <v>0</v>
      </c>
      <c r="BK504" s="28"/>
      <c r="BL504" s="28">
        <v>764</v>
      </c>
      <c r="BW504" s="28">
        <v>21</v>
      </c>
    </row>
    <row r="505" spans="1:75" x14ac:dyDescent="0.25">
      <c r="A505" s="31"/>
      <c r="C505" s="32" t="s">
        <v>947</v>
      </c>
      <c r="D505" s="32" t="s">
        <v>52</v>
      </c>
      <c r="F505" s="33">
        <v>0.35</v>
      </c>
      <c r="K505" s="34"/>
    </row>
    <row r="506" spans="1:75" ht="13.5" customHeight="1" x14ac:dyDescent="0.25">
      <c r="A506" s="2" t="s">
        <v>948</v>
      </c>
      <c r="B506" s="3" t="s">
        <v>949</v>
      </c>
      <c r="C506" s="83" t="s">
        <v>950</v>
      </c>
      <c r="D506" s="80"/>
      <c r="E506" s="3" t="s">
        <v>71</v>
      </c>
      <c r="F506" s="28">
        <v>2.4117000000000002</v>
      </c>
      <c r="G506" s="28">
        <v>0</v>
      </c>
      <c r="H506" s="28">
        <f>F506*AO506</f>
        <v>0</v>
      </c>
      <c r="I506" s="28">
        <f>F506*AP506</f>
        <v>0</v>
      </c>
      <c r="J506" s="28">
        <f>F506*G506</f>
        <v>0</v>
      </c>
      <c r="K506" s="29" t="s">
        <v>61</v>
      </c>
      <c r="Z506" s="28">
        <f>IF(AQ506="5",BJ506,0)</f>
        <v>0</v>
      </c>
      <c r="AB506" s="28">
        <f>IF(AQ506="1",BH506,0)</f>
        <v>0</v>
      </c>
      <c r="AC506" s="28">
        <f>IF(AQ506="1",BI506,0)</f>
        <v>0</v>
      </c>
      <c r="AD506" s="28">
        <f>IF(AQ506="7",BH506,0)</f>
        <v>0</v>
      </c>
      <c r="AE506" s="28">
        <f>IF(AQ506="7",BI506,0)</f>
        <v>0</v>
      </c>
      <c r="AF506" s="28">
        <f>IF(AQ506="2",BH506,0)</f>
        <v>0</v>
      </c>
      <c r="AG506" s="28">
        <f>IF(AQ506="2",BI506,0)</f>
        <v>0</v>
      </c>
      <c r="AH506" s="28">
        <f>IF(AQ506="0",BJ506,0)</f>
        <v>0</v>
      </c>
      <c r="AI506" s="10" t="s">
        <v>236</v>
      </c>
      <c r="AJ506" s="28">
        <f>IF(AN506=0,J506,0)</f>
        <v>0</v>
      </c>
      <c r="AK506" s="28">
        <f>IF(AN506=12,J506,0)</f>
        <v>0</v>
      </c>
      <c r="AL506" s="28">
        <f>IF(AN506=21,J506,0)</f>
        <v>0</v>
      </c>
      <c r="AN506" s="28">
        <v>21</v>
      </c>
      <c r="AO506" s="28">
        <f>G506*0</f>
        <v>0</v>
      </c>
      <c r="AP506" s="28">
        <f>G506*(1-0)</f>
        <v>0</v>
      </c>
      <c r="AQ506" s="30" t="s">
        <v>87</v>
      </c>
      <c r="AV506" s="28">
        <f>AW506+AX506</f>
        <v>0</v>
      </c>
      <c r="AW506" s="28">
        <f>F506*AO506</f>
        <v>0</v>
      </c>
      <c r="AX506" s="28">
        <f>F506*AP506</f>
        <v>0</v>
      </c>
      <c r="AY506" s="30" t="s">
        <v>156</v>
      </c>
      <c r="AZ506" s="30" t="s">
        <v>876</v>
      </c>
      <c r="BA506" s="10" t="s">
        <v>242</v>
      </c>
      <c r="BC506" s="28">
        <f>AW506+AX506</f>
        <v>0</v>
      </c>
      <c r="BD506" s="28">
        <f>G506/(100-BE506)*100</f>
        <v>0</v>
      </c>
      <c r="BE506" s="28">
        <v>0</v>
      </c>
      <c r="BF506" s="28">
        <f>506</f>
        <v>506</v>
      </c>
      <c r="BH506" s="28">
        <f>F506*AO506</f>
        <v>0</v>
      </c>
      <c r="BI506" s="28">
        <f>F506*AP506</f>
        <v>0</v>
      </c>
      <c r="BJ506" s="28">
        <f>F506*G506</f>
        <v>0</v>
      </c>
      <c r="BK506" s="28"/>
      <c r="BL506" s="28">
        <v>764</v>
      </c>
      <c r="BW506" s="28">
        <v>21</v>
      </c>
    </row>
    <row r="507" spans="1:75" x14ac:dyDescent="0.25">
      <c r="A507" s="24" t="s">
        <v>52</v>
      </c>
      <c r="B507" s="25" t="s">
        <v>951</v>
      </c>
      <c r="C507" s="139" t="s">
        <v>952</v>
      </c>
      <c r="D507" s="140"/>
      <c r="E507" s="26" t="s">
        <v>4</v>
      </c>
      <c r="F507" s="26" t="s">
        <v>4</v>
      </c>
      <c r="G507" s="26" t="s">
        <v>4</v>
      </c>
      <c r="H507" s="1">
        <f>SUM(H508:H516)</f>
        <v>0</v>
      </c>
      <c r="I507" s="1">
        <f>SUM(I508:I516)</f>
        <v>0</v>
      </c>
      <c r="J507" s="1">
        <f>SUM(J508:J516)</f>
        <v>0</v>
      </c>
      <c r="K507" s="27" t="s">
        <v>52</v>
      </c>
      <c r="AI507" s="10" t="s">
        <v>236</v>
      </c>
      <c r="AS507" s="1">
        <f>SUM(AJ508:AJ516)</f>
        <v>0</v>
      </c>
      <c r="AT507" s="1">
        <f>SUM(AK508:AK516)</f>
        <v>0</v>
      </c>
      <c r="AU507" s="1">
        <f>SUM(AL508:AL516)</f>
        <v>0</v>
      </c>
    </row>
    <row r="508" spans="1:75" ht="27" customHeight="1" x14ac:dyDescent="0.25">
      <c r="A508" s="2" t="s">
        <v>953</v>
      </c>
      <c r="B508" s="3" t="s">
        <v>954</v>
      </c>
      <c r="C508" s="83" t="s">
        <v>955</v>
      </c>
      <c r="D508" s="80"/>
      <c r="E508" s="3" t="s">
        <v>137</v>
      </c>
      <c r="F508" s="28">
        <v>1</v>
      </c>
      <c r="G508" s="28">
        <v>0</v>
      </c>
      <c r="H508" s="28">
        <f>F508*AO508</f>
        <v>0</v>
      </c>
      <c r="I508" s="28">
        <f>F508*AP508</f>
        <v>0</v>
      </c>
      <c r="J508" s="28">
        <f>F508*G508</f>
        <v>0</v>
      </c>
      <c r="K508" s="29" t="s">
        <v>61</v>
      </c>
      <c r="Z508" s="28">
        <f>IF(AQ508="5",BJ508,0)</f>
        <v>0</v>
      </c>
      <c r="AB508" s="28">
        <f>IF(AQ508="1",BH508,0)</f>
        <v>0</v>
      </c>
      <c r="AC508" s="28">
        <f>IF(AQ508="1",BI508,0)</f>
        <v>0</v>
      </c>
      <c r="AD508" s="28">
        <f>IF(AQ508="7",BH508,0)</f>
        <v>0</v>
      </c>
      <c r="AE508" s="28">
        <f>IF(AQ508="7",BI508,0)</f>
        <v>0</v>
      </c>
      <c r="AF508" s="28">
        <f>IF(AQ508="2",BH508,0)</f>
        <v>0</v>
      </c>
      <c r="AG508" s="28">
        <f>IF(AQ508="2",BI508,0)</f>
        <v>0</v>
      </c>
      <c r="AH508" s="28">
        <f>IF(AQ508="0",BJ508,0)</f>
        <v>0</v>
      </c>
      <c r="AI508" s="10" t="s">
        <v>236</v>
      </c>
      <c r="AJ508" s="28">
        <f>IF(AN508=0,J508,0)</f>
        <v>0</v>
      </c>
      <c r="AK508" s="28">
        <f>IF(AN508=12,J508,0)</f>
        <v>0</v>
      </c>
      <c r="AL508" s="28">
        <f>IF(AN508=21,J508,0)</f>
        <v>0</v>
      </c>
      <c r="AN508" s="28">
        <v>21</v>
      </c>
      <c r="AO508" s="28">
        <f>G508*0.861538462</f>
        <v>0</v>
      </c>
      <c r="AP508" s="28">
        <f>G508*(1-0.861538462)</f>
        <v>0</v>
      </c>
      <c r="AQ508" s="30" t="s">
        <v>98</v>
      </c>
      <c r="AV508" s="28">
        <f>AW508+AX508</f>
        <v>0</v>
      </c>
      <c r="AW508" s="28">
        <f>F508*AO508</f>
        <v>0</v>
      </c>
      <c r="AX508" s="28">
        <f>F508*AP508</f>
        <v>0</v>
      </c>
      <c r="AY508" s="30" t="s">
        <v>956</v>
      </c>
      <c r="AZ508" s="30" t="s">
        <v>876</v>
      </c>
      <c r="BA508" s="10" t="s">
        <v>242</v>
      </c>
      <c r="BC508" s="28">
        <f>AW508+AX508</f>
        <v>0</v>
      </c>
      <c r="BD508" s="28">
        <f>G508/(100-BE508)*100</f>
        <v>0</v>
      </c>
      <c r="BE508" s="28">
        <v>0</v>
      </c>
      <c r="BF508" s="28">
        <f>508</f>
        <v>508</v>
      </c>
      <c r="BH508" s="28">
        <f>F508*AO508</f>
        <v>0</v>
      </c>
      <c r="BI508" s="28">
        <f>F508*AP508</f>
        <v>0</v>
      </c>
      <c r="BJ508" s="28">
        <f>F508*G508</f>
        <v>0</v>
      </c>
      <c r="BK508" s="28"/>
      <c r="BL508" s="28">
        <v>766</v>
      </c>
      <c r="BW508" s="28">
        <v>21</v>
      </c>
    </row>
    <row r="509" spans="1:75" ht="13.5" customHeight="1" x14ac:dyDescent="0.25">
      <c r="A509" s="2" t="s">
        <v>957</v>
      </c>
      <c r="B509" s="3" t="s">
        <v>958</v>
      </c>
      <c r="C509" s="83" t="s">
        <v>959</v>
      </c>
      <c r="D509" s="80"/>
      <c r="E509" s="3" t="s">
        <v>137</v>
      </c>
      <c r="F509" s="28">
        <v>2</v>
      </c>
      <c r="G509" s="28">
        <v>0</v>
      </c>
      <c r="H509" s="28">
        <f>F509*AO509</f>
        <v>0</v>
      </c>
      <c r="I509" s="28">
        <f>F509*AP509</f>
        <v>0</v>
      </c>
      <c r="J509" s="28">
        <f>F509*G509</f>
        <v>0</v>
      </c>
      <c r="K509" s="29" t="s">
        <v>61</v>
      </c>
      <c r="Z509" s="28">
        <f>IF(AQ509="5",BJ509,0)</f>
        <v>0</v>
      </c>
      <c r="AB509" s="28">
        <f>IF(AQ509="1",BH509,0)</f>
        <v>0</v>
      </c>
      <c r="AC509" s="28">
        <f>IF(AQ509="1",BI509,0)</f>
        <v>0</v>
      </c>
      <c r="AD509" s="28">
        <f>IF(AQ509="7",BH509,0)</f>
        <v>0</v>
      </c>
      <c r="AE509" s="28">
        <f>IF(AQ509="7",BI509,0)</f>
        <v>0</v>
      </c>
      <c r="AF509" s="28">
        <f>IF(AQ509="2",BH509,0)</f>
        <v>0</v>
      </c>
      <c r="AG509" s="28">
        <f>IF(AQ509="2",BI509,0)</f>
        <v>0</v>
      </c>
      <c r="AH509" s="28">
        <f>IF(AQ509="0",BJ509,0)</f>
        <v>0</v>
      </c>
      <c r="AI509" s="10" t="s">
        <v>236</v>
      </c>
      <c r="AJ509" s="28">
        <f>IF(AN509=0,J509,0)</f>
        <v>0</v>
      </c>
      <c r="AK509" s="28">
        <f>IF(AN509=12,J509,0)</f>
        <v>0</v>
      </c>
      <c r="AL509" s="28">
        <f>IF(AN509=21,J509,0)</f>
        <v>0</v>
      </c>
      <c r="AN509" s="28">
        <v>21</v>
      </c>
      <c r="AO509" s="28">
        <f>G509*0.965517241</f>
        <v>0</v>
      </c>
      <c r="AP509" s="28">
        <f>G509*(1-0.965517241)</f>
        <v>0</v>
      </c>
      <c r="AQ509" s="30" t="s">
        <v>98</v>
      </c>
      <c r="AV509" s="28">
        <f>AW509+AX509</f>
        <v>0</v>
      </c>
      <c r="AW509" s="28">
        <f>F509*AO509</f>
        <v>0</v>
      </c>
      <c r="AX509" s="28">
        <f>F509*AP509</f>
        <v>0</v>
      </c>
      <c r="AY509" s="30" t="s">
        <v>956</v>
      </c>
      <c r="AZ509" s="30" t="s">
        <v>876</v>
      </c>
      <c r="BA509" s="10" t="s">
        <v>242</v>
      </c>
      <c r="BC509" s="28">
        <f>AW509+AX509</f>
        <v>0</v>
      </c>
      <c r="BD509" s="28">
        <f>G509/(100-BE509)*100</f>
        <v>0</v>
      </c>
      <c r="BE509" s="28">
        <v>0</v>
      </c>
      <c r="BF509" s="28">
        <f>509</f>
        <v>509</v>
      </c>
      <c r="BH509" s="28">
        <f>F509*AO509</f>
        <v>0</v>
      </c>
      <c r="BI509" s="28">
        <f>F509*AP509</f>
        <v>0</v>
      </c>
      <c r="BJ509" s="28">
        <f>F509*G509</f>
        <v>0</v>
      </c>
      <c r="BK509" s="28"/>
      <c r="BL509" s="28">
        <v>766</v>
      </c>
      <c r="BW509" s="28">
        <v>21</v>
      </c>
    </row>
    <row r="510" spans="1:75" x14ac:dyDescent="0.25">
      <c r="A510" s="31"/>
      <c r="C510" s="32" t="s">
        <v>68</v>
      </c>
      <c r="D510" s="32" t="s">
        <v>52</v>
      </c>
      <c r="F510" s="33">
        <v>2</v>
      </c>
      <c r="K510" s="34"/>
    </row>
    <row r="511" spans="1:75" ht="27" customHeight="1" x14ac:dyDescent="0.25">
      <c r="A511" s="2" t="s">
        <v>960</v>
      </c>
      <c r="B511" s="3" t="s">
        <v>958</v>
      </c>
      <c r="C511" s="83" t="s">
        <v>961</v>
      </c>
      <c r="D511" s="80"/>
      <c r="E511" s="3" t="s">
        <v>137</v>
      </c>
      <c r="F511" s="28">
        <v>2</v>
      </c>
      <c r="G511" s="28">
        <v>0</v>
      </c>
      <c r="H511" s="28">
        <f>F511*AO511</f>
        <v>0</v>
      </c>
      <c r="I511" s="28">
        <f>F511*AP511</f>
        <v>0</v>
      </c>
      <c r="J511" s="28">
        <f>F511*G511</f>
        <v>0</v>
      </c>
      <c r="K511" s="29" t="s">
        <v>61</v>
      </c>
      <c r="Z511" s="28">
        <f>IF(AQ511="5",BJ511,0)</f>
        <v>0</v>
      </c>
      <c r="AB511" s="28">
        <f>IF(AQ511="1",BH511,0)</f>
        <v>0</v>
      </c>
      <c r="AC511" s="28">
        <f>IF(AQ511="1",BI511,0)</f>
        <v>0</v>
      </c>
      <c r="AD511" s="28">
        <f>IF(AQ511="7",BH511,0)</f>
        <v>0</v>
      </c>
      <c r="AE511" s="28">
        <f>IF(AQ511="7",BI511,0)</f>
        <v>0</v>
      </c>
      <c r="AF511" s="28">
        <f>IF(AQ511="2",BH511,0)</f>
        <v>0</v>
      </c>
      <c r="AG511" s="28">
        <f>IF(AQ511="2",BI511,0)</f>
        <v>0</v>
      </c>
      <c r="AH511" s="28">
        <f>IF(AQ511="0",BJ511,0)</f>
        <v>0</v>
      </c>
      <c r="AI511" s="10" t="s">
        <v>236</v>
      </c>
      <c r="AJ511" s="28">
        <f>IF(AN511=0,J511,0)</f>
        <v>0</v>
      </c>
      <c r="AK511" s="28">
        <f>IF(AN511=12,J511,0)</f>
        <v>0</v>
      </c>
      <c r="AL511" s="28">
        <f>IF(AN511=21,J511,0)</f>
        <v>0</v>
      </c>
      <c r="AN511" s="28">
        <v>21</v>
      </c>
      <c r="AO511" s="28">
        <f>G511*0.967741935</f>
        <v>0</v>
      </c>
      <c r="AP511" s="28">
        <f>G511*(1-0.967741935)</f>
        <v>0</v>
      </c>
      <c r="AQ511" s="30" t="s">
        <v>98</v>
      </c>
      <c r="AV511" s="28">
        <f>AW511+AX511</f>
        <v>0</v>
      </c>
      <c r="AW511" s="28">
        <f>F511*AO511</f>
        <v>0</v>
      </c>
      <c r="AX511" s="28">
        <f>F511*AP511</f>
        <v>0</v>
      </c>
      <c r="AY511" s="30" t="s">
        <v>956</v>
      </c>
      <c r="AZ511" s="30" t="s">
        <v>876</v>
      </c>
      <c r="BA511" s="10" t="s">
        <v>242</v>
      </c>
      <c r="BC511" s="28">
        <f>AW511+AX511</f>
        <v>0</v>
      </c>
      <c r="BD511" s="28">
        <f>G511/(100-BE511)*100</f>
        <v>0</v>
      </c>
      <c r="BE511" s="28">
        <v>0</v>
      </c>
      <c r="BF511" s="28">
        <f>511</f>
        <v>511</v>
      </c>
      <c r="BH511" s="28">
        <f>F511*AO511</f>
        <v>0</v>
      </c>
      <c r="BI511" s="28">
        <f>F511*AP511</f>
        <v>0</v>
      </c>
      <c r="BJ511" s="28">
        <f>F511*G511</f>
        <v>0</v>
      </c>
      <c r="BK511" s="28"/>
      <c r="BL511" s="28">
        <v>766</v>
      </c>
      <c r="BW511" s="28">
        <v>21</v>
      </c>
    </row>
    <row r="512" spans="1:75" x14ac:dyDescent="0.25">
      <c r="A512" s="31"/>
      <c r="C512" s="32" t="s">
        <v>68</v>
      </c>
      <c r="D512" s="32" t="s">
        <v>52</v>
      </c>
      <c r="F512" s="33">
        <v>2</v>
      </c>
      <c r="K512" s="34"/>
    </row>
    <row r="513" spans="1:75" ht="27" customHeight="1" x14ac:dyDescent="0.25">
      <c r="A513" s="2" t="s">
        <v>962</v>
      </c>
      <c r="B513" s="3" t="s">
        <v>963</v>
      </c>
      <c r="C513" s="83" t="s">
        <v>964</v>
      </c>
      <c r="D513" s="80"/>
      <c r="E513" s="3" t="s">
        <v>137</v>
      </c>
      <c r="F513" s="28">
        <v>1</v>
      </c>
      <c r="G513" s="28">
        <v>0</v>
      </c>
      <c r="H513" s="28">
        <f>F513*AO513</f>
        <v>0</v>
      </c>
      <c r="I513" s="28">
        <f>F513*AP513</f>
        <v>0</v>
      </c>
      <c r="J513" s="28">
        <f>F513*G513</f>
        <v>0</v>
      </c>
      <c r="K513" s="29" t="s">
        <v>61</v>
      </c>
      <c r="Z513" s="28">
        <f>IF(AQ513="5",BJ513,0)</f>
        <v>0</v>
      </c>
      <c r="AB513" s="28">
        <f>IF(AQ513="1",BH513,0)</f>
        <v>0</v>
      </c>
      <c r="AC513" s="28">
        <f>IF(AQ513="1",BI513,0)</f>
        <v>0</v>
      </c>
      <c r="AD513" s="28">
        <f>IF(AQ513="7",BH513,0)</f>
        <v>0</v>
      </c>
      <c r="AE513" s="28">
        <f>IF(AQ513="7",BI513,0)</f>
        <v>0</v>
      </c>
      <c r="AF513" s="28">
        <f>IF(AQ513="2",BH513,0)</f>
        <v>0</v>
      </c>
      <c r="AG513" s="28">
        <f>IF(AQ513="2",BI513,0)</f>
        <v>0</v>
      </c>
      <c r="AH513" s="28">
        <f>IF(AQ513="0",BJ513,0)</f>
        <v>0</v>
      </c>
      <c r="AI513" s="10" t="s">
        <v>236</v>
      </c>
      <c r="AJ513" s="28">
        <f>IF(AN513=0,J513,0)</f>
        <v>0</v>
      </c>
      <c r="AK513" s="28">
        <f>IF(AN513=12,J513,0)</f>
        <v>0</v>
      </c>
      <c r="AL513" s="28">
        <f>IF(AN513=21,J513,0)</f>
        <v>0</v>
      </c>
      <c r="AN513" s="28">
        <v>21</v>
      </c>
      <c r="AO513" s="28">
        <f>G513*0.862745098</f>
        <v>0</v>
      </c>
      <c r="AP513" s="28">
        <f>G513*(1-0.862745098)</f>
        <v>0</v>
      </c>
      <c r="AQ513" s="30" t="s">
        <v>98</v>
      </c>
      <c r="AV513" s="28">
        <f>AW513+AX513</f>
        <v>0</v>
      </c>
      <c r="AW513" s="28">
        <f>F513*AO513</f>
        <v>0</v>
      </c>
      <c r="AX513" s="28">
        <f>F513*AP513</f>
        <v>0</v>
      </c>
      <c r="AY513" s="30" t="s">
        <v>956</v>
      </c>
      <c r="AZ513" s="30" t="s">
        <v>876</v>
      </c>
      <c r="BA513" s="10" t="s">
        <v>242</v>
      </c>
      <c r="BC513" s="28">
        <f>AW513+AX513</f>
        <v>0</v>
      </c>
      <c r="BD513" s="28">
        <f>G513/(100-BE513)*100</f>
        <v>0</v>
      </c>
      <c r="BE513" s="28">
        <v>0</v>
      </c>
      <c r="BF513" s="28">
        <f>513</f>
        <v>513</v>
      </c>
      <c r="BH513" s="28">
        <f>F513*AO513</f>
        <v>0</v>
      </c>
      <c r="BI513" s="28">
        <f>F513*AP513</f>
        <v>0</v>
      </c>
      <c r="BJ513" s="28">
        <f>F513*G513</f>
        <v>0</v>
      </c>
      <c r="BK513" s="28"/>
      <c r="BL513" s="28">
        <v>766</v>
      </c>
      <c r="BW513" s="28">
        <v>21</v>
      </c>
    </row>
    <row r="514" spans="1:75" ht="27" customHeight="1" x14ac:dyDescent="0.25">
      <c r="A514" s="2" t="s">
        <v>965</v>
      </c>
      <c r="B514" s="3" t="s">
        <v>963</v>
      </c>
      <c r="C514" s="83" t="s">
        <v>966</v>
      </c>
      <c r="D514" s="80"/>
      <c r="E514" s="3" t="s">
        <v>137</v>
      </c>
      <c r="F514" s="28">
        <v>2</v>
      </c>
      <c r="G514" s="28">
        <v>0</v>
      </c>
      <c r="H514" s="28">
        <f>F514*AO514</f>
        <v>0</v>
      </c>
      <c r="I514" s="28">
        <f>F514*AP514</f>
        <v>0</v>
      </c>
      <c r="J514" s="28">
        <f>F514*G514</f>
        <v>0</v>
      </c>
      <c r="K514" s="29" t="s">
        <v>61</v>
      </c>
      <c r="Z514" s="28">
        <f>IF(AQ514="5",BJ514,0)</f>
        <v>0</v>
      </c>
      <c r="AB514" s="28">
        <f>IF(AQ514="1",BH514,0)</f>
        <v>0</v>
      </c>
      <c r="AC514" s="28">
        <f>IF(AQ514="1",BI514,0)</f>
        <v>0</v>
      </c>
      <c r="AD514" s="28">
        <f>IF(AQ514="7",BH514,0)</f>
        <v>0</v>
      </c>
      <c r="AE514" s="28">
        <f>IF(AQ514="7",BI514,0)</f>
        <v>0</v>
      </c>
      <c r="AF514" s="28">
        <f>IF(AQ514="2",BH514,0)</f>
        <v>0</v>
      </c>
      <c r="AG514" s="28">
        <f>IF(AQ514="2",BI514,0)</f>
        <v>0</v>
      </c>
      <c r="AH514" s="28">
        <f>IF(AQ514="0",BJ514,0)</f>
        <v>0</v>
      </c>
      <c r="AI514" s="10" t="s">
        <v>236</v>
      </c>
      <c r="AJ514" s="28">
        <f>IF(AN514=0,J514,0)</f>
        <v>0</v>
      </c>
      <c r="AK514" s="28">
        <f>IF(AN514=12,J514,0)</f>
        <v>0</v>
      </c>
      <c r="AL514" s="28">
        <f>IF(AN514=21,J514,0)</f>
        <v>0</v>
      </c>
      <c r="AN514" s="28">
        <v>21</v>
      </c>
      <c r="AO514" s="28">
        <f>G514*0.787878788</f>
        <v>0</v>
      </c>
      <c r="AP514" s="28">
        <f>G514*(1-0.787878788)</f>
        <v>0</v>
      </c>
      <c r="AQ514" s="30" t="s">
        <v>98</v>
      </c>
      <c r="AV514" s="28">
        <f>AW514+AX514</f>
        <v>0</v>
      </c>
      <c r="AW514" s="28">
        <f>F514*AO514</f>
        <v>0</v>
      </c>
      <c r="AX514" s="28">
        <f>F514*AP514</f>
        <v>0</v>
      </c>
      <c r="AY514" s="30" t="s">
        <v>956</v>
      </c>
      <c r="AZ514" s="30" t="s">
        <v>876</v>
      </c>
      <c r="BA514" s="10" t="s">
        <v>242</v>
      </c>
      <c r="BC514" s="28">
        <f>AW514+AX514</f>
        <v>0</v>
      </c>
      <c r="BD514" s="28">
        <f>G514/(100-BE514)*100</f>
        <v>0</v>
      </c>
      <c r="BE514" s="28">
        <v>0</v>
      </c>
      <c r="BF514" s="28">
        <f>514</f>
        <v>514</v>
      </c>
      <c r="BH514" s="28">
        <f>F514*AO514</f>
        <v>0</v>
      </c>
      <c r="BI514" s="28">
        <f>F514*AP514</f>
        <v>0</v>
      </c>
      <c r="BJ514" s="28">
        <f>F514*G514</f>
        <v>0</v>
      </c>
      <c r="BK514" s="28"/>
      <c r="BL514" s="28">
        <v>766</v>
      </c>
      <c r="BW514" s="28">
        <v>21</v>
      </c>
    </row>
    <row r="515" spans="1:75" ht="27" customHeight="1" x14ac:dyDescent="0.25">
      <c r="A515" s="2" t="s">
        <v>967</v>
      </c>
      <c r="B515" s="3" t="s">
        <v>958</v>
      </c>
      <c r="C515" s="83" t="s">
        <v>968</v>
      </c>
      <c r="D515" s="80"/>
      <c r="E515" s="3" t="s">
        <v>128</v>
      </c>
      <c r="F515" s="28">
        <v>1</v>
      </c>
      <c r="G515" s="28">
        <v>0</v>
      </c>
      <c r="H515" s="28">
        <f>F515*AO515</f>
        <v>0</v>
      </c>
      <c r="I515" s="28">
        <f>F515*AP515</f>
        <v>0</v>
      </c>
      <c r="J515" s="28">
        <f>F515*G515</f>
        <v>0</v>
      </c>
      <c r="K515" s="29" t="s">
        <v>61</v>
      </c>
      <c r="Z515" s="28">
        <f>IF(AQ515="5",BJ515,0)</f>
        <v>0</v>
      </c>
      <c r="AB515" s="28">
        <f>IF(AQ515="1",BH515,0)</f>
        <v>0</v>
      </c>
      <c r="AC515" s="28">
        <f>IF(AQ515="1",BI515,0)</f>
        <v>0</v>
      </c>
      <c r="AD515" s="28">
        <f>IF(AQ515="7",BH515,0)</f>
        <v>0</v>
      </c>
      <c r="AE515" s="28">
        <f>IF(AQ515="7",BI515,0)</f>
        <v>0</v>
      </c>
      <c r="AF515" s="28">
        <f>IF(AQ515="2",BH515,0)</f>
        <v>0</v>
      </c>
      <c r="AG515" s="28">
        <f>IF(AQ515="2",BI515,0)</f>
        <v>0</v>
      </c>
      <c r="AH515" s="28">
        <f>IF(AQ515="0",BJ515,0)</f>
        <v>0</v>
      </c>
      <c r="AI515" s="10" t="s">
        <v>236</v>
      </c>
      <c r="AJ515" s="28">
        <f>IF(AN515=0,J515,0)</f>
        <v>0</v>
      </c>
      <c r="AK515" s="28">
        <f>IF(AN515=12,J515,0)</f>
        <v>0</v>
      </c>
      <c r="AL515" s="28">
        <f>IF(AN515=21,J515,0)</f>
        <v>0</v>
      </c>
      <c r="AN515" s="28">
        <v>21</v>
      </c>
      <c r="AO515" s="28">
        <f>G515*0.714285714</f>
        <v>0</v>
      </c>
      <c r="AP515" s="28">
        <f>G515*(1-0.714285714)</f>
        <v>0</v>
      </c>
      <c r="AQ515" s="30" t="s">
        <v>98</v>
      </c>
      <c r="AV515" s="28">
        <f>AW515+AX515</f>
        <v>0</v>
      </c>
      <c r="AW515" s="28">
        <f>F515*AO515</f>
        <v>0</v>
      </c>
      <c r="AX515" s="28">
        <f>F515*AP515</f>
        <v>0</v>
      </c>
      <c r="AY515" s="30" t="s">
        <v>956</v>
      </c>
      <c r="AZ515" s="30" t="s">
        <v>876</v>
      </c>
      <c r="BA515" s="10" t="s">
        <v>242</v>
      </c>
      <c r="BC515" s="28">
        <f>AW515+AX515</f>
        <v>0</v>
      </c>
      <c r="BD515" s="28">
        <f>G515/(100-BE515)*100</f>
        <v>0</v>
      </c>
      <c r="BE515" s="28">
        <v>0</v>
      </c>
      <c r="BF515" s="28">
        <f>515</f>
        <v>515</v>
      </c>
      <c r="BH515" s="28">
        <f>F515*AO515</f>
        <v>0</v>
      </c>
      <c r="BI515" s="28">
        <f>F515*AP515</f>
        <v>0</v>
      </c>
      <c r="BJ515" s="28">
        <f>F515*G515</f>
        <v>0</v>
      </c>
      <c r="BK515" s="28"/>
      <c r="BL515" s="28">
        <v>766</v>
      </c>
      <c r="BW515" s="28">
        <v>21</v>
      </c>
    </row>
    <row r="516" spans="1:75" ht="13.5" customHeight="1" x14ac:dyDescent="0.25">
      <c r="A516" s="2" t="s">
        <v>969</v>
      </c>
      <c r="B516" s="3" t="s">
        <v>970</v>
      </c>
      <c r="C516" s="83" t="s">
        <v>971</v>
      </c>
      <c r="D516" s="80"/>
      <c r="E516" s="3" t="s">
        <v>71</v>
      </c>
      <c r="F516" s="28">
        <v>0.22392999999999999</v>
      </c>
      <c r="G516" s="28">
        <v>0</v>
      </c>
      <c r="H516" s="28">
        <f>F516*AO516</f>
        <v>0</v>
      </c>
      <c r="I516" s="28">
        <f>F516*AP516</f>
        <v>0</v>
      </c>
      <c r="J516" s="28">
        <f>F516*G516</f>
        <v>0</v>
      </c>
      <c r="K516" s="29" t="s">
        <v>61</v>
      </c>
      <c r="Z516" s="28">
        <f>IF(AQ516="5",BJ516,0)</f>
        <v>0</v>
      </c>
      <c r="AB516" s="28">
        <f>IF(AQ516="1",BH516,0)</f>
        <v>0</v>
      </c>
      <c r="AC516" s="28">
        <f>IF(AQ516="1",BI516,0)</f>
        <v>0</v>
      </c>
      <c r="AD516" s="28">
        <f>IF(AQ516="7",BH516,0)</f>
        <v>0</v>
      </c>
      <c r="AE516" s="28">
        <f>IF(AQ516="7",BI516,0)</f>
        <v>0</v>
      </c>
      <c r="AF516" s="28">
        <f>IF(AQ516="2",BH516,0)</f>
        <v>0</v>
      </c>
      <c r="AG516" s="28">
        <f>IF(AQ516="2",BI516,0)</f>
        <v>0</v>
      </c>
      <c r="AH516" s="28">
        <f>IF(AQ516="0",BJ516,0)</f>
        <v>0</v>
      </c>
      <c r="AI516" s="10" t="s">
        <v>236</v>
      </c>
      <c r="AJ516" s="28">
        <f>IF(AN516=0,J516,0)</f>
        <v>0</v>
      </c>
      <c r="AK516" s="28">
        <f>IF(AN516=12,J516,0)</f>
        <v>0</v>
      </c>
      <c r="AL516" s="28">
        <f>IF(AN516=21,J516,0)</f>
        <v>0</v>
      </c>
      <c r="AN516" s="28">
        <v>21</v>
      </c>
      <c r="AO516" s="28">
        <f>G516*0</f>
        <v>0</v>
      </c>
      <c r="AP516" s="28">
        <f>G516*(1-0)</f>
        <v>0</v>
      </c>
      <c r="AQ516" s="30" t="s">
        <v>87</v>
      </c>
      <c r="AV516" s="28">
        <f>AW516+AX516</f>
        <v>0</v>
      </c>
      <c r="AW516" s="28">
        <f>F516*AO516</f>
        <v>0</v>
      </c>
      <c r="AX516" s="28">
        <f>F516*AP516</f>
        <v>0</v>
      </c>
      <c r="AY516" s="30" t="s">
        <v>956</v>
      </c>
      <c r="AZ516" s="30" t="s">
        <v>876</v>
      </c>
      <c r="BA516" s="10" t="s">
        <v>242</v>
      </c>
      <c r="BC516" s="28">
        <f>AW516+AX516</f>
        <v>0</v>
      </c>
      <c r="BD516" s="28">
        <f>G516/(100-BE516)*100</f>
        <v>0</v>
      </c>
      <c r="BE516" s="28">
        <v>0</v>
      </c>
      <c r="BF516" s="28">
        <f>516</f>
        <v>516</v>
      </c>
      <c r="BH516" s="28">
        <f>F516*AO516</f>
        <v>0</v>
      </c>
      <c r="BI516" s="28">
        <f>F516*AP516</f>
        <v>0</v>
      </c>
      <c r="BJ516" s="28">
        <f>F516*G516</f>
        <v>0</v>
      </c>
      <c r="BK516" s="28"/>
      <c r="BL516" s="28">
        <v>766</v>
      </c>
      <c r="BW516" s="28">
        <v>21</v>
      </c>
    </row>
    <row r="517" spans="1:75" x14ac:dyDescent="0.25">
      <c r="A517" s="24" t="s">
        <v>52</v>
      </c>
      <c r="B517" s="25" t="s">
        <v>162</v>
      </c>
      <c r="C517" s="139" t="s">
        <v>163</v>
      </c>
      <c r="D517" s="140"/>
      <c r="E517" s="26" t="s">
        <v>4</v>
      </c>
      <c r="F517" s="26" t="s">
        <v>4</v>
      </c>
      <c r="G517" s="26" t="s">
        <v>4</v>
      </c>
      <c r="H517" s="1">
        <f>SUM(H518:H665)</f>
        <v>0</v>
      </c>
      <c r="I517" s="1">
        <f>SUM(I518:I665)</f>
        <v>0</v>
      </c>
      <c r="J517" s="1">
        <f>SUM(J518:J665)</f>
        <v>0</v>
      </c>
      <c r="K517" s="27" t="s">
        <v>52</v>
      </c>
      <c r="AI517" s="10" t="s">
        <v>236</v>
      </c>
      <c r="AS517" s="1">
        <f>SUM(AJ518:AJ665)</f>
        <v>0</v>
      </c>
      <c r="AT517" s="1">
        <f>SUM(AK518:AK665)</f>
        <v>0</v>
      </c>
      <c r="AU517" s="1">
        <f>SUM(AL518:AL665)</f>
        <v>0</v>
      </c>
    </row>
    <row r="518" spans="1:75" ht="13.5" customHeight="1" x14ac:dyDescent="0.25">
      <c r="A518" s="2" t="s">
        <v>972</v>
      </c>
      <c r="B518" s="3" t="s">
        <v>973</v>
      </c>
      <c r="C518" s="83" t="s">
        <v>974</v>
      </c>
      <c r="D518" s="80"/>
      <c r="E518" s="3" t="s">
        <v>975</v>
      </c>
      <c r="F518" s="28">
        <v>40767.699999999997</v>
      </c>
      <c r="G518" s="28">
        <v>0</v>
      </c>
      <c r="H518" s="28">
        <f>F518*AO518</f>
        <v>0</v>
      </c>
      <c r="I518" s="28">
        <f>F518*AP518</f>
        <v>0</v>
      </c>
      <c r="J518" s="28">
        <f>F518*G518</f>
        <v>0</v>
      </c>
      <c r="K518" s="29" t="s">
        <v>61</v>
      </c>
      <c r="Z518" s="28">
        <f>IF(AQ518="5",BJ518,0)</f>
        <v>0</v>
      </c>
      <c r="AB518" s="28">
        <f>IF(AQ518="1",BH518,0)</f>
        <v>0</v>
      </c>
      <c r="AC518" s="28">
        <f>IF(AQ518="1",BI518,0)</f>
        <v>0</v>
      </c>
      <c r="AD518" s="28">
        <f>IF(AQ518="7",BH518,0)</f>
        <v>0</v>
      </c>
      <c r="AE518" s="28">
        <f>IF(AQ518="7",BI518,0)</f>
        <v>0</v>
      </c>
      <c r="AF518" s="28">
        <f>IF(AQ518="2",BH518,0)</f>
        <v>0</v>
      </c>
      <c r="AG518" s="28">
        <f>IF(AQ518="2",BI518,0)</f>
        <v>0</v>
      </c>
      <c r="AH518" s="28">
        <f>IF(AQ518="0",BJ518,0)</f>
        <v>0</v>
      </c>
      <c r="AI518" s="10" t="s">
        <v>236</v>
      </c>
      <c r="AJ518" s="28">
        <f>IF(AN518=0,J518,0)</f>
        <v>0</v>
      </c>
      <c r="AK518" s="28">
        <f>IF(AN518=12,J518,0)</f>
        <v>0</v>
      </c>
      <c r="AL518" s="28">
        <f>IF(AN518=21,J518,0)</f>
        <v>0</v>
      </c>
      <c r="AN518" s="28">
        <v>21</v>
      </c>
      <c r="AO518" s="28">
        <f>G518*0.295626822</f>
        <v>0</v>
      </c>
      <c r="AP518" s="28">
        <f>G518*(1-0.295626822)</f>
        <v>0</v>
      </c>
      <c r="AQ518" s="30" t="s">
        <v>98</v>
      </c>
      <c r="AV518" s="28">
        <f>AW518+AX518</f>
        <v>0</v>
      </c>
      <c r="AW518" s="28">
        <f>F518*AO518</f>
        <v>0</v>
      </c>
      <c r="AX518" s="28">
        <f>F518*AP518</f>
        <v>0</v>
      </c>
      <c r="AY518" s="30" t="s">
        <v>168</v>
      </c>
      <c r="AZ518" s="30" t="s">
        <v>876</v>
      </c>
      <c r="BA518" s="10" t="s">
        <v>242</v>
      </c>
      <c r="BC518" s="28">
        <f>AW518+AX518</f>
        <v>0</v>
      </c>
      <c r="BD518" s="28">
        <f>G518/(100-BE518)*100</f>
        <v>0</v>
      </c>
      <c r="BE518" s="28">
        <v>0</v>
      </c>
      <c r="BF518" s="28">
        <f>518</f>
        <v>518</v>
      </c>
      <c r="BH518" s="28">
        <f>F518*AO518</f>
        <v>0</v>
      </c>
      <c r="BI518" s="28">
        <f>F518*AP518</f>
        <v>0</v>
      </c>
      <c r="BJ518" s="28">
        <f>F518*G518</f>
        <v>0</v>
      </c>
      <c r="BK518" s="28"/>
      <c r="BL518" s="28">
        <v>767</v>
      </c>
      <c r="BW518" s="28">
        <v>21</v>
      </c>
    </row>
    <row r="519" spans="1:75" x14ac:dyDescent="0.25">
      <c r="A519" s="31"/>
      <c r="C519" s="32" t="s">
        <v>976</v>
      </c>
      <c r="D519" s="32" t="s">
        <v>977</v>
      </c>
      <c r="F519" s="33">
        <v>10340</v>
      </c>
      <c r="K519" s="34"/>
    </row>
    <row r="520" spans="1:75" x14ac:dyDescent="0.25">
      <c r="A520" s="31"/>
      <c r="C520" s="32" t="s">
        <v>978</v>
      </c>
      <c r="D520" s="32" t="s">
        <v>979</v>
      </c>
      <c r="F520" s="33">
        <v>9079.9</v>
      </c>
      <c r="K520" s="34"/>
    </row>
    <row r="521" spans="1:75" x14ac:dyDescent="0.25">
      <c r="A521" s="31"/>
      <c r="C521" s="32" t="s">
        <v>980</v>
      </c>
      <c r="D521" s="32" t="s">
        <v>981</v>
      </c>
      <c r="F521" s="33">
        <v>11585.6</v>
      </c>
      <c r="K521" s="34"/>
    </row>
    <row r="522" spans="1:75" x14ac:dyDescent="0.25">
      <c r="A522" s="31"/>
      <c r="C522" s="32" t="s">
        <v>982</v>
      </c>
      <c r="D522" s="32" t="s">
        <v>983</v>
      </c>
      <c r="F522" s="33">
        <v>3020.4</v>
      </c>
      <c r="K522" s="34"/>
    </row>
    <row r="523" spans="1:75" x14ac:dyDescent="0.25">
      <c r="A523" s="31"/>
      <c r="C523" s="32" t="s">
        <v>984</v>
      </c>
      <c r="D523" s="32" t="s">
        <v>983</v>
      </c>
      <c r="F523" s="33">
        <v>1745.3</v>
      </c>
      <c r="K523" s="34"/>
    </row>
    <row r="524" spans="1:75" x14ac:dyDescent="0.25">
      <c r="A524" s="31"/>
      <c r="C524" s="32" t="s">
        <v>985</v>
      </c>
      <c r="D524" s="32" t="s">
        <v>986</v>
      </c>
      <c r="F524" s="33">
        <v>1200.2</v>
      </c>
      <c r="K524" s="34"/>
    </row>
    <row r="525" spans="1:75" x14ac:dyDescent="0.25">
      <c r="A525" s="31"/>
      <c r="C525" s="32" t="s">
        <v>987</v>
      </c>
      <c r="D525" s="32" t="s">
        <v>988</v>
      </c>
      <c r="F525" s="33">
        <v>3796.3</v>
      </c>
      <c r="K525" s="34"/>
    </row>
    <row r="526" spans="1:75" ht="13.5" customHeight="1" x14ac:dyDescent="0.25">
      <c r="A526" s="2" t="s">
        <v>989</v>
      </c>
      <c r="B526" s="3" t="s">
        <v>990</v>
      </c>
      <c r="C526" s="83" t="s">
        <v>991</v>
      </c>
      <c r="D526" s="80"/>
      <c r="E526" s="3" t="s">
        <v>71</v>
      </c>
      <c r="F526" s="28">
        <v>10.856999999999999</v>
      </c>
      <c r="G526" s="28">
        <v>0</v>
      </c>
      <c r="H526" s="28">
        <f>F526*AO526</f>
        <v>0</v>
      </c>
      <c r="I526" s="28">
        <f>F526*AP526</f>
        <v>0</v>
      </c>
      <c r="J526" s="28">
        <f>F526*G526</f>
        <v>0</v>
      </c>
      <c r="K526" s="29" t="s">
        <v>61</v>
      </c>
      <c r="Z526" s="28">
        <f>IF(AQ526="5",BJ526,0)</f>
        <v>0</v>
      </c>
      <c r="AB526" s="28">
        <f>IF(AQ526="1",BH526,0)</f>
        <v>0</v>
      </c>
      <c r="AC526" s="28">
        <f>IF(AQ526="1",BI526,0)</f>
        <v>0</v>
      </c>
      <c r="AD526" s="28">
        <f>IF(AQ526="7",BH526,0)</f>
        <v>0</v>
      </c>
      <c r="AE526" s="28">
        <f>IF(AQ526="7",BI526,0)</f>
        <v>0</v>
      </c>
      <c r="AF526" s="28">
        <f>IF(AQ526="2",BH526,0)</f>
        <v>0</v>
      </c>
      <c r="AG526" s="28">
        <f>IF(AQ526="2",BI526,0)</f>
        <v>0</v>
      </c>
      <c r="AH526" s="28">
        <f>IF(AQ526="0",BJ526,0)</f>
        <v>0</v>
      </c>
      <c r="AI526" s="10" t="s">
        <v>236</v>
      </c>
      <c r="AJ526" s="28">
        <f>IF(AN526=0,J526,0)</f>
        <v>0</v>
      </c>
      <c r="AK526" s="28">
        <f>IF(AN526=12,J526,0)</f>
        <v>0</v>
      </c>
      <c r="AL526" s="28">
        <f>IF(AN526=21,J526,0)</f>
        <v>0</v>
      </c>
      <c r="AN526" s="28">
        <v>21</v>
      </c>
      <c r="AO526" s="28">
        <f>G526*1</f>
        <v>0</v>
      </c>
      <c r="AP526" s="28">
        <f>G526*(1-1)</f>
        <v>0</v>
      </c>
      <c r="AQ526" s="30" t="s">
        <v>98</v>
      </c>
      <c r="AV526" s="28">
        <f>AW526+AX526</f>
        <v>0</v>
      </c>
      <c r="AW526" s="28">
        <f>F526*AO526</f>
        <v>0</v>
      </c>
      <c r="AX526" s="28">
        <f>F526*AP526</f>
        <v>0</v>
      </c>
      <c r="AY526" s="30" t="s">
        <v>168</v>
      </c>
      <c r="AZ526" s="30" t="s">
        <v>876</v>
      </c>
      <c r="BA526" s="10" t="s">
        <v>242</v>
      </c>
      <c r="BC526" s="28">
        <f>AW526+AX526</f>
        <v>0</v>
      </c>
      <c r="BD526" s="28">
        <f>G526/(100-BE526)*100</f>
        <v>0</v>
      </c>
      <c r="BE526" s="28">
        <v>0</v>
      </c>
      <c r="BF526" s="28">
        <f>526</f>
        <v>526</v>
      </c>
      <c r="BH526" s="28">
        <f>F526*AO526</f>
        <v>0</v>
      </c>
      <c r="BI526" s="28">
        <f>F526*AP526</f>
        <v>0</v>
      </c>
      <c r="BJ526" s="28">
        <f>F526*G526</f>
        <v>0</v>
      </c>
      <c r="BK526" s="28"/>
      <c r="BL526" s="28">
        <v>767</v>
      </c>
      <c r="BW526" s="28">
        <v>21</v>
      </c>
    </row>
    <row r="527" spans="1:75" x14ac:dyDescent="0.25">
      <c r="A527" s="31"/>
      <c r="C527" s="32" t="s">
        <v>992</v>
      </c>
      <c r="D527" s="32" t="s">
        <v>993</v>
      </c>
      <c r="F527" s="33">
        <v>10.34</v>
      </c>
      <c r="K527" s="34"/>
    </row>
    <row r="528" spans="1:75" x14ac:dyDescent="0.25">
      <c r="A528" s="31"/>
      <c r="C528" s="32" t="s">
        <v>994</v>
      </c>
      <c r="D528" s="32" t="s">
        <v>52</v>
      </c>
      <c r="F528" s="33">
        <v>0.51700000000000002</v>
      </c>
      <c r="K528" s="34"/>
    </row>
    <row r="529" spans="1:75" ht="13.5" customHeight="1" x14ac:dyDescent="0.25">
      <c r="A529" s="2" t="s">
        <v>995</v>
      </c>
      <c r="B529" s="3" t="s">
        <v>990</v>
      </c>
      <c r="C529" s="83" t="s">
        <v>996</v>
      </c>
      <c r="D529" s="80"/>
      <c r="E529" s="3" t="s">
        <v>71</v>
      </c>
      <c r="F529" s="28">
        <v>9.5338899999999995</v>
      </c>
      <c r="G529" s="28">
        <v>0</v>
      </c>
      <c r="H529" s="28">
        <f>F529*AO529</f>
        <v>0</v>
      </c>
      <c r="I529" s="28">
        <f>F529*AP529</f>
        <v>0</v>
      </c>
      <c r="J529" s="28">
        <f>F529*G529</f>
        <v>0</v>
      </c>
      <c r="K529" s="29" t="s">
        <v>61</v>
      </c>
      <c r="Z529" s="28">
        <f>IF(AQ529="5",BJ529,0)</f>
        <v>0</v>
      </c>
      <c r="AB529" s="28">
        <f>IF(AQ529="1",BH529,0)</f>
        <v>0</v>
      </c>
      <c r="AC529" s="28">
        <f>IF(AQ529="1",BI529,0)</f>
        <v>0</v>
      </c>
      <c r="AD529" s="28">
        <f>IF(AQ529="7",BH529,0)</f>
        <v>0</v>
      </c>
      <c r="AE529" s="28">
        <f>IF(AQ529="7",BI529,0)</f>
        <v>0</v>
      </c>
      <c r="AF529" s="28">
        <f>IF(AQ529="2",BH529,0)</f>
        <v>0</v>
      </c>
      <c r="AG529" s="28">
        <f>IF(AQ529="2",BI529,0)</f>
        <v>0</v>
      </c>
      <c r="AH529" s="28">
        <f>IF(AQ529="0",BJ529,0)</f>
        <v>0</v>
      </c>
      <c r="AI529" s="10" t="s">
        <v>236</v>
      </c>
      <c r="AJ529" s="28">
        <f>IF(AN529=0,J529,0)</f>
        <v>0</v>
      </c>
      <c r="AK529" s="28">
        <f>IF(AN529=12,J529,0)</f>
        <v>0</v>
      </c>
      <c r="AL529" s="28">
        <f>IF(AN529=21,J529,0)</f>
        <v>0</v>
      </c>
      <c r="AN529" s="28">
        <v>21</v>
      </c>
      <c r="AO529" s="28">
        <f>G529*1</f>
        <v>0</v>
      </c>
      <c r="AP529" s="28">
        <f>G529*(1-1)</f>
        <v>0</v>
      </c>
      <c r="AQ529" s="30" t="s">
        <v>98</v>
      </c>
      <c r="AV529" s="28">
        <f>AW529+AX529</f>
        <v>0</v>
      </c>
      <c r="AW529" s="28">
        <f>F529*AO529</f>
        <v>0</v>
      </c>
      <c r="AX529" s="28">
        <f>F529*AP529</f>
        <v>0</v>
      </c>
      <c r="AY529" s="30" t="s">
        <v>168</v>
      </c>
      <c r="AZ529" s="30" t="s">
        <v>876</v>
      </c>
      <c r="BA529" s="10" t="s">
        <v>242</v>
      </c>
      <c r="BC529" s="28">
        <f>AW529+AX529</f>
        <v>0</v>
      </c>
      <c r="BD529" s="28">
        <f>G529/(100-BE529)*100</f>
        <v>0</v>
      </c>
      <c r="BE529" s="28">
        <v>0</v>
      </c>
      <c r="BF529" s="28">
        <f>529</f>
        <v>529</v>
      </c>
      <c r="BH529" s="28">
        <f>F529*AO529</f>
        <v>0</v>
      </c>
      <c r="BI529" s="28">
        <f>F529*AP529</f>
        <v>0</v>
      </c>
      <c r="BJ529" s="28">
        <f>F529*G529</f>
        <v>0</v>
      </c>
      <c r="BK529" s="28"/>
      <c r="BL529" s="28">
        <v>767</v>
      </c>
      <c r="BW529" s="28">
        <v>21</v>
      </c>
    </row>
    <row r="530" spans="1:75" x14ac:dyDescent="0.25">
      <c r="A530" s="31"/>
      <c r="C530" s="32" t="s">
        <v>997</v>
      </c>
      <c r="D530" s="32" t="s">
        <v>998</v>
      </c>
      <c r="F530" s="33">
        <v>9.0799000000000003</v>
      </c>
      <c r="K530" s="34"/>
    </row>
    <row r="531" spans="1:75" x14ac:dyDescent="0.25">
      <c r="A531" s="31"/>
      <c r="C531" s="32" t="s">
        <v>999</v>
      </c>
      <c r="D531" s="32" t="s">
        <v>52</v>
      </c>
      <c r="F531" s="33">
        <v>0.45399</v>
      </c>
      <c r="K531" s="34"/>
    </row>
    <row r="532" spans="1:75" ht="13.5" customHeight="1" x14ac:dyDescent="0.25">
      <c r="A532" s="2" t="s">
        <v>1000</v>
      </c>
      <c r="B532" s="3" t="s">
        <v>1001</v>
      </c>
      <c r="C532" s="83" t="s">
        <v>1002</v>
      </c>
      <c r="D532" s="80"/>
      <c r="E532" s="3" t="s">
        <v>71</v>
      </c>
      <c r="F532" s="28">
        <v>12.16488</v>
      </c>
      <c r="G532" s="28">
        <v>0</v>
      </c>
      <c r="H532" s="28">
        <f>F532*AO532</f>
        <v>0</v>
      </c>
      <c r="I532" s="28">
        <f>F532*AP532</f>
        <v>0</v>
      </c>
      <c r="J532" s="28">
        <f>F532*G532</f>
        <v>0</v>
      </c>
      <c r="K532" s="29" t="s">
        <v>61</v>
      </c>
      <c r="Z532" s="28">
        <f>IF(AQ532="5",BJ532,0)</f>
        <v>0</v>
      </c>
      <c r="AB532" s="28">
        <f>IF(AQ532="1",BH532,0)</f>
        <v>0</v>
      </c>
      <c r="AC532" s="28">
        <f>IF(AQ532="1",BI532,0)</f>
        <v>0</v>
      </c>
      <c r="AD532" s="28">
        <f>IF(AQ532="7",BH532,0)</f>
        <v>0</v>
      </c>
      <c r="AE532" s="28">
        <f>IF(AQ532="7",BI532,0)</f>
        <v>0</v>
      </c>
      <c r="AF532" s="28">
        <f>IF(AQ532="2",BH532,0)</f>
        <v>0</v>
      </c>
      <c r="AG532" s="28">
        <f>IF(AQ532="2",BI532,0)</f>
        <v>0</v>
      </c>
      <c r="AH532" s="28">
        <f>IF(AQ532="0",BJ532,0)</f>
        <v>0</v>
      </c>
      <c r="AI532" s="10" t="s">
        <v>236</v>
      </c>
      <c r="AJ532" s="28">
        <f>IF(AN532=0,J532,0)</f>
        <v>0</v>
      </c>
      <c r="AK532" s="28">
        <f>IF(AN532=12,J532,0)</f>
        <v>0</v>
      </c>
      <c r="AL532" s="28">
        <f>IF(AN532=21,J532,0)</f>
        <v>0</v>
      </c>
      <c r="AN532" s="28">
        <v>21</v>
      </c>
      <c r="AO532" s="28">
        <f>G532*1</f>
        <v>0</v>
      </c>
      <c r="AP532" s="28">
        <f>G532*(1-1)</f>
        <v>0</v>
      </c>
      <c r="AQ532" s="30" t="s">
        <v>98</v>
      </c>
      <c r="AV532" s="28">
        <f>AW532+AX532</f>
        <v>0</v>
      </c>
      <c r="AW532" s="28">
        <f>F532*AO532</f>
        <v>0</v>
      </c>
      <c r="AX532" s="28">
        <f>F532*AP532</f>
        <v>0</v>
      </c>
      <c r="AY532" s="30" t="s">
        <v>168</v>
      </c>
      <c r="AZ532" s="30" t="s">
        <v>876</v>
      </c>
      <c r="BA532" s="10" t="s">
        <v>242</v>
      </c>
      <c r="BC532" s="28">
        <f>AW532+AX532</f>
        <v>0</v>
      </c>
      <c r="BD532" s="28">
        <f>G532/(100-BE532)*100</f>
        <v>0</v>
      </c>
      <c r="BE532" s="28">
        <v>0</v>
      </c>
      <c r="BF532" s="28">
        <f>532</f>
        <v>532</v>
      </c>
      <c r="BH532" s="28">
        <f>F532*AO532</f>
        <v>0</v>
      </c>
      <c r="BI532" s="28">
        <f>F532*AP532</f>
        <v>0</v>
      </c>
      <c r="BJ532" s="28">
        <f>F532*G532</f>
        <v>0</v>
      </c>
      <c r="BK532" s="28"/>
      <c r="BL532" s="28">
        <v>767</v>
      </c>
      <c r="BW532" s="28">
        <v>21</v>
      </c>
    </row>
    <row r="533" spans="1:75" x14ac:dyDescent="0.25">
      <c r="A533" s="31"/>
      <c r="C533" s="32" t="s">
        <v>1003</v>
      </c>
      <c r="D533" s="32" t="s">
        <v>1004</v>
      </c>
      <c r="F533" s="33">
        <v>11.585599999999999</v>
      </c>
      <c r="K533" s="34"/>
    </row>
    <row r="534" spans="1:75" x14ac:dyDescent="0.25">
      <c r="A534" s="31"/>
      <c r="C534" s="32" t="s">
        <v>1005</v>
      </c>
      <c r="D534" s="32" t="s">
        <v>52</v>
      </c>
      <c r="F534" s="33">
        <v>0.57928000000000002</v>
      </c>
      <c r="K534" s="34"/>
    </row>
    <row r="535" spans="1:75" ht="13.5" customHeight="1" x14ac:dyDescent="0.25">
      <c r="A535" s="2" t="s">
        <v>1006</v>
      </c>
      <c r="B535" s="3" t="s">
        <v>1007</v>
      </c>
      <c r="C535" s="83" t="s">
        <v>1008</v>
      </c>
      <c r="D535" s="80"/>
      <c r="E535" s="3" t="s">
        <v>71</v>
      </c>
      <c r="F535" s="28">
        <v>5.0039800000000003</v>
      </c>
      <c r="G535" s="28">
        <v>0</v>
      </c>
      <c r="H535" s="28">
        <f>F535*AO535</f>
        <v>0</v>
      </c>
      <c r="I535" s="28">
        <f>F535*AP535</f>
        <v>0</v>
      </c>
      <c r="J535" s="28">
        <f>F535*G535</f>
        <v>0</v>
      </c>
      <c r="K535" s="29" t="s">
        <v>61</v>
      </c>
      <c r="Z535" s="28">
        <f>IF(AQ535="5",BJ535,0)</f>
        <v>0</v>
      </c>
      <c r="AB535" s="28">
        <f>IF(AQ535="1",BH535,0)</f>
        <v>0</v>
      </c>
      <c r="AC535" s="28">
        <f>IF(AQ535="1",BI535,0)</f>
        <v>0</v>
      </c>
      <c r="AD535" s="28">
        <f>IF(AQ535="7",BH535,0)</f>
        <v>0</v>
      </c>
      <c r="AE535" s="28">
        <f>IF(AQ535="7",BI535,0)</f>
        <v>0</v>
      </c>
      <c r="AF535" s="28">
        <f>IF(AQ535="2",BH535,0)</f>
        <v>0</v>
      </c>
      <c r="AG535" s="28">
        <f>IF(AQ535="2",BI535,0)</f>
        <v>0</v>
      </c>
      <c r="AH535" s="28">
        <f>IF(AQ535="0",BJ535,0)</f>
        <v>0</v>
      </c>
      <c r="AI535" s="10" t="s">
        <v>236</v>
      </c>
      <c r="AJ535" s="28">
        <f>IF(AN535=0,J535,0)</f>
        <v>0</v>
      </c>
      <c r="AK535" s="28">
        <f>IF(AN535=12,J535,0)</f>
        <v>0</v>
      </c>
      <c r="AL535" s="28">
        <f>IF(AN535=21,J535,0)</f>
        <v>0</v>
      </c>
      <c r="AN535" s="28">
        <v>21</v>
      </c>
      <c r="AO535" s="28">
        <f>G535*1</f>
        <v>0</v>
      </c>
      <c r="AP535" s="28">
        <f>G535*(1-1)</f>
        <v>0</v>
      </c>
      <c r="AQ535" s="30" t="s">
        <v>98</v>
      </c>
      <c r="AV535" s="28">
        <f>AW535+AX535</f>
        <v>0</v>
      </c>
      <c r="AW535" s="28">
        <f>F535*AO535</f>
        <v>0</v>
      </c>
      <c r="AX535" s="28">
        <f>F535*AP535</f>
        <v>0</v>
      </c>
      <c r="AY535" s="30" t="s">
        <v>168</v>
      </c>
      <c r="AZ535" s="30" t="s">
        <v>876</v>
      </c>
      <c r="BA535" s="10" t="s">
        <v>242</v>
      </c>
      <c r="BC535" s="28">
        <f>AW535+AX535</f>
        <v>0</v>
      </c>
      <c r="BD535" s="28">
        <f>G535/(100-BE535)*100</f>
        <v>0</v>
      </c>
      <c r="BE535" s="28">
        <v>0</v>
      </c>
      <c r="BF535" s="28">
        <f>535</f>
        <v>535</v>
      </c>
      <c r="BH535" s="28">
        <f>F535*AO535</f>
        <v>0</v>
      </c>
      <c r="BI535" s="28">
        <f>F535*AP535</f>
        <v>0</v>
      </c>
      <c r="BJ535" s="28">
        <f>F535*G535</f>
        <v>0</v>
      </c>
      <c r="BK535" s="28"/>
      <c r="BL535" s="28">
        <v>767</v>
      </c>
      <c r="BW535" s="28">
        <v>21</v>
      </c>
    </row>
    <row r="536" spans="1:75" x14ac:dyDescent="0.25">
      <c r="A536" s="31"/>
      <c r="C536" s="32" t="s">
        <v>1009</v>
      </c>
      <c r="D536" s="32" t="s">
        <v>1010</v>
      </c>
      <c r="F536" s="33">
        <v>3.0204</v>
      </c>
      <c r="K536" s="34"/>
    </row>
    <row r="537" spans="1:75" x14ac:dyDescent="0.25">
      <c r="A537" s="31"/>
      <c r="C537" s="32" t="s">
        <v>1011</v>
      </c>
      <c r="D537" s="32" t="s">
        <v>52</v>
      </c>
      <c r="F537" s="33">
        <v>0.23827999999999999</v>
      </c>
      <c r="K537" s="34"/>
    </row>
    <row r="538" spans="1:75" x14ac:dyDescent="0.25">
      <c r="A538" s="31"/>
      <c r="C538" s="32" t="s">
        <v>1012</v>
      </c>
      <c r="D538" s="32" t="s">
        <v>1013</v>
      </c>
      <c r="F538" s="33">
        <v>1.7453000000000001</v>
      </c>
      <c r="K538" s="34"/>
    </row>
    <row r="539" spans="1:75" ht="13.5" customHeight="1" x14ac:dyDescent="0.25">
      <c r="A539" s="2" t="s">
        <v>1014</v>
      </c>
      <c r="B539" s="3" t="s">
        <v>1015</v>
      </c>
      <c r="C539" s="83" t="s">
        <v>1016</v>
      </c>
      <c r="D539" s="80"/>
      <c r="E539" s="3" t="s">
        <v>71</v>
      </c>
      <c r="F539" s="28">
        <v>1.2602100000000001</v>
      </c>
      <c r="G539" s="28">
        <v>0</v>
      </c>
      <c r="H539" s="28">
        <f>F539*AO539</f>
        <v>0</v>
      </c>
      <c r="I539" s="28">
        <f>F539*AP539</f>
        <v>0</v>
      </c>
      <c r="J539" s="28">
        <f>F539*G539</f>
        <v>0</v>
      </c>
      <c r="K539" s="29" t="s">
        <v>61</v>
      </c>
      <c r="Z539" s="28">
        <f>IF(AQ539="5",BJ539,0)</f>
        <v>0</v>
      </c>
      <c r="AB539" s="28">
        <f>IF(AQ539="1",BH539,0)</f>
        <v>0</v>
      </c>
      <c r="AC539" s="28">
        <f>IF(AQ539="1",BI539,0)</f>
        <v>0</v>
      </c>
      <c r="AD539" s="28">
        <f>IF(AQ539="7",BH539,0)</f>
        <v>0</v>
      </c>
      <c r="AE539" s="28">
        <f>IF(AQ539="7",BI539,0)</f>
        <v>0</v>
      </c>
      <c r="AF539" s="28">
        <f>IF(AQ539="2",BH539,0)</f>
        <v>0</v>
      </c>
      <c r="AG539" s="28">
        <f>IF(AQ539="2",BI539,0)</f>
        <v>0</v>
      </c>
      <c r="AH539" s="28">
        <f>IF(AQ539="0",BJ539,0)</f>
        <v>0</v>
      </c>
      <c r="AI539" s="10" t="s">
        <v>236</v>
      </c>
      <c r="AJ539" s="28">
        <f>IF(AN539=0,J539,0)</f>
        <v>0</v>
      </c>
      <c r="AK539" s="28">
        <f>IF(AN539=12,J539,0)</f>
        <v>0</v>
      </c>
      <c r="AL539" s="28">
        <f>IF(AN539=21,J539,0)</f>
        <v>0</v>
      </c>
      <c r="AN539" s="28">
        <v>21</v>
      </c>
      <c r="AO539" s="28">
        <f>G539*1</f>
        <v>0</v>
      </c>
      <c r="AP539" s="28">
        <f>G539*(1-1)</f>
        <v>0</v>
      </c>
      <c r="AQ539" s="30" t="s">
        <v>98</v>
      </c>
      <c r="AV539" s="28">
        <f>AW539+AX539</f>
        <v>0</v>
      </c>
      <c r="AW539" s="28">
        <f>F539*AO539</f>
        <v>0</v>
      </c>
      <c r="AX539" s="28">
        <f>F539*AP539</f>
        <v>0</v>
      </c>
      <c r="AY539" s="30" t="s">
        <v>168</v>
      </c>
      <c r="AZ539" s="30" t="s">
        <v>876</v>
      </c>
      <c r="BA539" s="10" t="s">
        <v>242</v>
      </c>
      <c r="BC539" s="28">
        <f>AW539+AX539</f>
        <v>0</v>
      </c>
      <c r="BD539" s="28">
        <f>G539/(100-BE539)*100</f>
        <v>0</v>
      </c>
      <c r="BE539" s="28">
        <v>0</v>
      </c>
      <c r="BF539" s="28">
        <f>539</f>
        <v>539</v>
      </c>
      <c r="BH539" s="28">
        <f>F539*AO539</f>
        <v>0</v>
      </c>
      <c r="BI539" s="28">
        <f>F539*AP539</f>
        <v>0</v>
      </c>
      <c r="BJ539" s="28">
        <f>F539*G539</f>
        <v>0</v>
      </c>
      <c r="BK539" s="28"/>
      <c r="BL539" s="28">
        <v>767</v>
      </c>
      <c r="BW539" s="28">
        <v>21</v>
      </c>
    </row>
    <row r="540" spans="1:75" x14ac:dyDescent="0.25">
      <c r="A540" s="31"/>
      <c r="C540" s="32" t="s">
        <v>1017</v>
      </c>
      <c r="D540" s="32" t="s">
        <v>52</v>
      </c>
      <c r="F540" s="33">
        <v>1.2001999999999999</v>
      </c>
      <c r="K540" s="34"/>
    </row>
    <row r="541" spans="1:75" x14ac:dyDescent="0.25">
      <c r="A541" s="31"/>
      <c r="C541" s="32" t="s">
        <v>1018</v>
      </c>
      <c r="D541" s="32" t="s">
        <v>52</v>
      </c>
      <c r="F541" s="33">
        <v>6.0010000000000001E-2</v>
      </c>
      <c r="K541" s="34"/>
    </row>
    <row r="542" spans="1:75" ht="13.5" customHeight="1" x14ac:dyDescent="0.25">
      <c r="A542" s="2" t="s">
        <v>1019</v>
      </c>
      <c r="B542" s="3" t="s">
        <v>1015</v>
      </c>
      <c r="C542" s="83" t="s">
        <v>1020</v>
      </c>
      <c r="D542" s="80"/>
      <c r="E542" s="3" t="s">
        <v>71</v>
      </c>
      <c r="F542" s="28">
        <v>3.9861200000000001</v>
      </c>
      <c r="G542" s="28">
        <v>0</v>
      </c>
      <c r="H542" s="28">
        <f>F542*AO542</f>
        <v>0</v>
      </c>
      <c r="I542" s="28">
        <f>F542*AP542</f>
        <v>0</v>
      </c>
      <c r="J542" s="28">
        <f>F542*G542</f>
        <v>0</v>
      </c>
      <c r="K542" s="29" t="s">
        <v>61</v>
      </c>
      <c r="Z542" s="28">
        <f>IF(AQ542="5",BJ542,0)</f>
        <v>0</v>
      </c>
      <c r="AB542" s="28">
        <f>IF(AQ542="1",BH542,0)</f>
        <v>0</v>
      </c>
      <c r="AC542" s="28">
        <f>IF(AQ542="1",BI542,0)</f>
        <v>0</v>
      </c>
      <c r="AD542" s="28">
        <f>IF(AQ542="7",BH542,0)</f>
        <v>0</v>
      </c>
      <c r="AE542" s="28">
        <f>IF(AQ542="7",BI542,0)</f>
        <v>0</v>
      </c>
      <c r="AF542" s="28">
        <f>IF(AQ542="2",BH542,0)</f>
        <v>0</v>
      </c>
      <c r="AG542" s="28">
        <f>IF(AQ542="2",BI542,0)</f>
        <v>0</v>
      </c>
      <c r="AH542" s="28">
        <f>IF(AQ542="0",BJ542,0)</f>
        <v>0</v>
      </c>
      <c r="AI542" s="10" t="s">
        <v>236</v>
      </c>
      <c r="AJ542" s="28">
        <f>IF(AN542=0,J542,0)</f>
        <v>0</v>
      </c>
      <c r="AK542" s="28">
        <f>IF(AN542=12,J542,0)</f>
        <v>0</v>
      </c>
      <c r="AL542" s="28">
        <f>IF(AN542=21,J542,0)</f>
        <v>0</v>
      </c>
      <c r="AN542" s="28">
        <v>21</v>
      </c>
      <c r="AO542" s="28">
        <f>G542*1</f>
        <v>0</v>
      </c>
      <c r="AP542" s="28">
        <f>G542*(1-1)</f>
        <v>0</v>
      </c>
      <c r="AQ542" s="30" t="s">
        <v>98</v>
      </c>
      <c r="AV542" s="28">
        <f>AW542+AX542</f>
        <v>0</v>
      </c>
      <c r="AW542" s="28">
        <f>F542*AO542</f>
        <v>0</v>
      </c>
      <c r="AX542" s="28">
        <f>F542*AP542</f>
        <v>0</v>
      </c>
      <c r="AY542" s="30" t="s">
        <v>168</v>
      </c>
      <c r="AZ542" s="30" t="s">
        <v>876</v>
      </c>
      <c r="BA542" s="10" t="s">
        <v>242</v>
      </c>
      <c r="BC542" s="28">
        <f>AW542+AX542</f>
        <v>0</v>
      </c>
      <c r="BD542" s="28">
        <f>G542/(100-BE542)*100</f>
        <v>0</v>
      </c>
      <c r="BE542" s="28">
        <v>0</v>
      </c>
      <c r="BF542" s="28">
        <f>542</f>
        <v>542</v>
      </c>
      <c r="BH542" s="28">
        <f>F542*AO542</f>
        <v>0</v>
      </c>
      <c r="BI542" s="28">
        <f>F542*AP542</f>
        <v>0</v>
      </c>
      <c r="BJ542" s="28">
        <f>F542*G542</f>
        <v>0</v>
      </c>
      <c r="BK542" s="28"/>
      <c r="BL542" s="28">
        <v>767</v>
      </c>
      <c r="BW542" s="28">
        <v>21</v>
      </c>
    </row>
    <row r="543" spans="1:75" x14ac:dyDescent="0.25">
      <c r="A543" s="31"/>
      <c r="C543" s="32" t="s">
        <v>1021</v>
      </c>
      <c r="D543" s="32" t="s">
        <v>52</v>
      </c>
      <c r="F543" s="33">
        <v>3.7963</v>
      </c>
      <c r="K543" s="34"/>
    </row>
    <row r="544" spans="1:75" x14ac:dyDescent="0.25">
      <c r="A544" s="31"/>
      <c r="C544" s="32" t="s">
        <v>1022</v>
      </c>
      <c r="D544" s="32" t="s">
        <v>52</v>
      </c>
      <c r="F544" s="33">
        <v>0.18981999999999999</v>
      </c>
      <c r="K544" s="34"/>
    </row>
    <row r="545" spans="1:75" ht="13.5" customHeight="1" x14ac:dyDescent="0.25">
      <c r="A545" s="2" t="s">
        <v>1023</v>
      </c>
      <c r="B545" s="3" t="s">
        <v>1024</v>
      </c>
      <c r="C545" s="83" t="s">
        <v>1025</v>
      </c>
      <c r="D545" s="80"/>
      <c r="E545" s="3" t="s">
        <v>975</v>
      </c>
      <c r="F545" s="28">
        <v>4428.6000000000004</v>
      </c>
      <c r="G545" s="28">
        <v>0</v>
      </c>
      <c r="H545" s="28">
        <f>F545*AO545</f>
        <v>0</v>
      </c>
      <c r="I545" s="28">
        <f>F545*AP545</f>
        <v>0</v>
      </c>
      <c r="J545" s="28">
        <f>F545*G545</f>
        <v>0</v>
      </c>
      <c r="K545" s="29" t="s">
        <v>61</v>
      </c>
      <c r="Z545" s="28">
        <f>IF(AQ545="5",BJ545,0)</f>
        <v>0</v>
      </c>
      <c r="AB545" s="28">
        <f>IF(AQ545="1",BH545,0)</f>
        <v>0</v>
      </c>
      <c r="AC545" s="28">
        <f>IF(AQ545="1",BI545,0)</f>
        <v>0</v>
      </c>
      <c r="AD545" s="28">
        <f>IF(AQ545="7",BH545,0)</f>
        <v>0</v>
      </c>
      <c r="AE545" s="28">
        <f>IF(AQ545="7",BI545,0)</f>
        <v>0</v>
      </c>
      <c r="AF545" s="28">
        <f>IF(AQ545="2",BH545,0)</f>
        <v>0</v>
      </c>
      <c r="AG545" s="28">
        <f>IF(AQ545="2",BI545,0)</f>
        <v>0</v>
      </c>
      <c r="AH545" s="28">
        <f>IF(AQ545="0",BJ545,0)</f>
        <v>0</v>
      </c>
      <c r="AI545" s="10" t="s">
        <v>236</v>
      </c>
      <c r="AJ545" s="28">
        <f>IF(AN545=0,J545,0)</f>
        <v>0</v>
      </c>
      <c r="AK545" s="28">
        <f>IF(AN545=12,J545,0)</f>
        <v>0</v>
      </c>
      <c r="AL545" s="28">
        <f>IF(AN545=21,J545,0)</f>
        <v>0</v>
      </c>
      <c r="AN545" s="28">
        <v>21</v>
      </c>
      <c r="AO545" s="28">
        <f>G545*0.264041995</f>
        <v>0</v>
      </c>
      <c r="AP545" s="28">
        <f>G545*(1-0.264041995)</f>
        <v>0</v>
      </c>
      <c r="AQ545" s="30" t="s">
        <v>98</v>
      </c>
      <c r="AV545" s="28">
        <f>AW545+AX545</f>
        <v>0</v>
      </c>
      <c r="AW545" s="28">
        <f>F545*AO545</f>
        <v>0</v>
      </c>
      <c r="AX545" s="28">
        <f>F545*AP545</f>
        <v>0</v>
      </c>
      <c r="AY545" s="30" t="s">
        <v>168</v>
      </c>
      <c r="AZ545" s="30" t="s">
        <v>876</v>
      </c>
      <c r="BA545" s="10" t="s">
        <v>242</v>
      </c>
      <c r="BC545" s="28">
        <f>AW545+AX545</f>
        <v>0</v>
      </c>
      <c r="BD545" s="28">
        <f>G545/(100-BE545)*100</f>
        <v>0</v>
      </c>
      <c r="BE545" s="28">
        <v>0</v>
      </c>
      <c r="BF545" s="28">
        <f>545</f>
        <v>545</v>
      </c>
      <c r="BH545" s="28">
        <f>F545*AO545</f>
        <v>0</v>
      </c>
      <c r="BI545" s="28">
        <f>F545*AP545</f>
        <v>0</v>
      </c>
      <c r="BJ545" s="28">
        <f>F545*G545</f>
        <v>0</v>
      </c>
      <c r="BK545" s="28"/>
      <c r="BL545" s="28">
        <v>767</v>
      </c>
      <c r="BW545" s="28">
        <v>21</v>
      </c>
    </row>
    <row r="546" spans="1:75" x14ac:dyDescent="0.25">
      <c r="A546" s="31"/>
      <c r="C546" s="32" t="s">
        <v>1026</v>
      </c>
      <c r="D546" s="32" t="s">
        <v>1027</v>
      </c>
      <c r="F546" s="33">
        <v>1878.4</v>
      </c>
      <c r="K546" s="34"/>
    </row>
    <row r="547" spans="1:75" x14ac:dyDescent="0.25">
      <c r="A547" s="31"/>
      <c r="C547" s="32" t="s">
        <v>1028</v>
      </c>
      <c r="D547" s="32" t="s">
        <v>983</v>
      </c>
      <c r="F547" s="33">
        <v>2550.1999999999998</v>
      </c>
      <c r="K547" s="34"/>
    </row>
    <row r="548" spans="1:75" ht="13.5" customHeight="1" x14ac:dyDescent="0.25">
      <c r="A548" s="2" t="s">
        <v>1029</v>
      </c>
      <c r="B548" s="3" t="s">
        <v>1030</v>
      </c>
      <c r="C548" s="83" t="s">
        <v>1031</v>
      </c>
      <c r="D548" s="80"/>
      <c r="E548" s="3" t="s">
        <v>71</v>
      </c>
      <c r="F548" s="28">
        <v>1.9733700000000001</v>
      </c>
      <c r="G548" s="28">
        <v>0</v>
      </c>
      <c r="H548" s="28">
        <f>F548*AO548</f>
        <v>0</v>
      </c>
      <c r="I548" s="28">
        <f>F548*AP548</f>
        <v>0</v>
      </c>
      <c r="J548" s="28">
        <f>F548*G548</f>
        <v>0</v>
      </c>
      <c r="K548" s="29" t="s">
        <v>61</v>
      </c>
      <c r="Z548" s="28">
        <f>IF(AQ548="5",BJ548,0)</f>
        <v>0</v>
      </c>
      <c r="AB548" s="28">
        <f>IF(AQ548="1",BH548,0)</f>
        <v>0</v>
      </c>
      <c r="AC548" s="28">
        <f>IF(AQ548="1",BI548,0)</f>
        <v>0</v>
      </c>
      <c r="AD548" s="28">
        <f>IF(AQ548="7",BH548,0)</f>
        <v>0</v>
      </c>
      <c r="AE548" s="28">
        <f>IF(AQ548="7",BI548,0)</f>
        <v>0</v>
      </c>
      <c r="AF548" s="28">
        <f>IF(AQ548="2",BH548,0)</f>
        <v>0</v>
      </c>
      <c r="AG548" s="28">
        <f>IF(AQ548="2",BI548,0)</f>
        <v>0</v>
      </c>
      <c r="AH548" s="28">
        <f>IF(AQ548="0",BJ548,0)</f>
        <v>0</v>
      </c>
      <c r="AI548" s="10" t="s">
        <v>236</v>
      </c>
      <c r="AJ548" s="28">
        <f>IF(AN548=0,J548,0)</f>
        <v>0</v>
      </c>
      <c r="AK548" s="28">
        <f>IF(AN548=12,J548,0)</f>
        <v>0</v>
      </c>
      <c r="AL548" s="28">
        <f>IF(AN548=21,J548,0)</f>
        <v>0</v>
      </c>
      <c r="AN548" s="28">
        <v>21</v>
      </c>
      <c r="AO548" s="28">
        <f>G548*1</f>
        <v>0</v>
      </c>
      <c r="AP548" s="28">
        <f>G548*(1-1)</f>
        <v>0</v>
      </c>
      <c r="AQ548" s="30" t="s">
        <v>98</v>
      </c>
      <c r="AV548" s="28">
        <f>AW548+AX548</f>
        <v>0</v>
      </c>
      <c r="AW548" s="28">
        <f>F548*AO548</f>
        <v>0</v>
      </c>
      <c r="AX548" s="28">
        <f>F548*AP548</f>
        <v>0</v>
      </c>
      <c r="AY548" s="30" t="s">
        <v>168</v>
      </c>
      <c r="AZ548" s="30" t="s">
        <v>876</v>
      </c>
      <c r="BA548" s="10" t="s">
        <v>242</v>
      </c>
      <c r="BC548" s="28">
        <f>AW548+AX548</f>
        <v>0</v>
      </c>
      <c r="BD548" s="28">
        <f>G548/(100-BE548)*100</f>
        <v>0</v>
      </c>
      <c r="BE548" s="28">
        <v>0</v>
      </c>
      <c r="BF548" s="28">
        <f>548</f>
        <v>548</v>
      </c>
      <c r="BH548" s="28">
        <f>F548*AO548</f>
        <v>0</v>
      </c>
      <c r="BI548" s="28">
        <f>F548*AP548</f>
        <v>0</v>
      </c>
      <c r="BJ548" s="28">
        <f>F548*G548</f>
        <v>0</v>
      </c>
      <c r="BK548" s="28"/>
      <c r="BL548" s="28">
        <v>767</v>
      </c>
      <c r="BW548" s="28">
        <v>21</v>
      </c>
    </row>
    <row r="549" spans="1:75" x14ac:dyDescent="0.25">
      <c r="A549" s="31"/>
      <c r="C549" s="32" t="s">
        <v>1032</v>
      </c>
      <c r="D549" s="32" t="s">
        <v>52</v>
      </c>
      <c r="F549" s="33">
        <v>1.8794</v>
      </c>
      <c r="K549" s="34"/>
    </row>
    <row r="550" spans="1:75" x14ac:dyDescent="0.25">
      <c r="A550" s="31"/>
      <c r="C550" s="32" t="s">
        <v>1033</v>
      </c>
      <c r="D550" s="32" t="s">
        <v>52</v>
      </c>
      <c r="F550" s="33">
        <v>9.3969999999999998E-2</v>
      </c>
      <c r="K550" s="34"/>
    </row>
    <row r="551" spans="1:75" ht="13.5" customHeight="1" x14ac:dyDescent="0.25">
      <c r="A551" s="2" t="s">
        <v>1034</v>
      </c>
      <c r="B551" s="3" t="s">
        <v>1035</v>
      </c>
      <c r="C551" s="83" t="s">
        <v>1036</v>
      </c>
      <c r="D551" s="80"/>
      <c r="E551" s="3" t="s">
        <v>71</v>
      </c>
      <c r="F551" s="28">
        <v>2.6777099999999998</v>
      </c>
      <c r="G551" s="28">
        <v>0</v>
      </c>
      <c r="H551" s="28">
        <f>F551*AO551</f>
        <v>0</v>
      </c>
      <c r="I551" s="28">
        <f>F551*AP551</f>
        <v>0</v>
      </c>
      <c r="J551" s="28">
        <f>F551*G551</f>
        <v>0</v>
      </c>
      <c r="K551" s="29" t="s">
        <v>61</v>
      </c>
      <c r="Z551" s="28">
        <f>IF(AQ551="5",BJ551,0)</f>
        <v>0</v>
      </c>
      <c r="AB551" s="28">
        <f>IF(AQ551="1",BH551,0)</f>
        <v>0</v>
      </c>
      <c r="AC551" s="28">
        <f>IF(AQ551="1",BI551,0)</f>
        <v>0</v>
      </c>
      <c r="AD551" s="28">
        <f>IF(AQ551="7",BH551,0)</f>
        <v>0</v>
      </c>
      <c r="AE551" s="28">
        <f>IF(AQ551="7",BI551,0)</f>
        <v>0</v>
      </c>
      <c r="AF551" s="28">
        <f>IF(AQ551="2",BH551,0)</f>
        <v>0</v>
      </c>
      <c r="AG551" s="28">
        <f>IF(AQ551="2",BI551,0)</f>
        <v>0</v>
      </c>
      <c r="AH551" s="28">
        <f>IF(AQ551="0",BJ551,0)</f>
        <v>0</v>
      </c>
      <c r="AI551" s="10" t="s">
        <v>236</v>
      </c>
      <c r="AJ551" s="28">
        <f>IF(AN551=0,J551,0)</f>
        <v>0</v>
      </c>
      <c r="AK551" s="28">
        <f>IF(AN551=12,J551,0)</f>
        <v>0</v>
      </c>
      <c r="AL551" s="28">
        <f>IF(AN551=21,J551,0)</f>
        <v>0</v>
      </c>
      <c r="AN551" s="28">
        <v>21</v>
      </c>
      <c r="AO551" s="28">
        <f>G551*1</f>
        <v>0</v>
      </c>
      <c r="AP551" s="28">
        <f>G551*(1-1)</f>
        <v>0</v>
      </c>
      <c r="AQ551" s="30" t="s">
        <v>98</v>
      </c>
      <c r="AV551" s="28">
        <f>AW551+AX551</f>
        <v>0</v>
      </c>
      <c r="AW551" s="28">
        <f>F551*AO551</f>
        <v>0</v>
      </c>
      <c r="AX551" s="28">
        <f>F551*AP551</f>
        <v>0</v>
      </c>
      <c r="AY551" s="30" t="s">
        <v>168</v>
      </c>
      <c r="AZ551" s="30" t="s">
        <v>876</v>
      </c>
      <c r="BA551" s="10" t="s">
        <v>242</v>
      </c>
      <c r="BC551" s="28">
        <f>AW551+AX551</f>
        <v>0</v>
      </c>
      <c r="BD551" s="28">
        <f>G551/(100-BE551)*100</f>
        <v>0</v>
      </c>
      <c r="BE551" s="28">
        <v>0</v>
      </c>
      <c r="BF551" s="28">
        <f>551</f>
        <v>551</v>
      </c>
      <c r="BH551" s="28">
        <f>F551*AO551</f>
        <v>0</v>
      </c>
      <c r="BI551" s="28">
        <f>F551*AP551</f>
        <v>0</v>
      </c>
      <c r="BJ551" s="28">
        <f>F551*G551</f>
        <v>0</v>
      </c>
      <c r="BK551" s="28"/>
      <c r="BL551" s="28">
        <v>767</v>
      </c>
      <c r="BW551" s="28">
        <v>21</v>
      </c>
    </row>
    <row r="552" spans="1:75" x14ac:dyDescent="0.25">
      <c r="A552" s="31"/>
      <c r="C552" s="32" t="s">
        <v>1037</v>
      </c>
      <c r="D552" s="32" t="s">
        <v>52</v>
      </c>
      <c r="F552" s="33">
        <v>2.5501999999999998</v>
      </c>
      <c r="K552" s="34"/>
    </row>
    <row r="553" spans="1:75" x14ac:dyDescent="0.25">
      <c r="A553" s="31"/>
      <c r="C553" s="32" t="s">
        <v>1038</v>
      </c>
      <c r="D553" s="32" t="s">
        <v>52</v>
      </c>
      <c r="F553" s="33">
        <v>0.12751000000000001</v>
      </c>
      <c r="K553" s="34"/>
    </row>
    <row r="554" spans="1:75" ht="13.5" customHeight="1" x14ac:dyDescent="0.25">
      <c r="A554" s="2" t="s">
        <v>1039</v>
      </c>
      <c r="B554" s="3" t="s">
        <v>1040</v>
      </c>
      <c r="C554" s="83" t="s">
        <v>1041</v>
      </c>
      <c r="D554" s="80"/>
      <c r="E554" s="3" t="s">
        <v>975</v>
      </c>
      <c r="F554" s="28">
        <v>2124.1999999999998</v>
      </c>
      <c r="G554" s="28">
        <v>0</v>
      </c>
      <c r="H554" s="28">
        <f>F554*AO554</f>
        <v>0</v>
      </c>
      <c r="I554" s="28">
        <f>F554*AP554</f>
        <v>0</v>
      </c>
      <c r="J554" s="28">
        <f>F554*G554</f>
        <v>0</v>
      </c>
      <c r="K554" s="29" t="s">
        <v>61</v>
      </c>
      <c r="Z554" s="28">
        <f>IF(AQ554="5",BJ554,0)</f>
        <v>0</v>
      </c>
      <c r="AB554" s="28">
        <f>IF(AQ554="1",BH554,0)</f>
        <v>0</v>
      </c>
      <c r="AC554" s="28">
        <f>IF(AQ554="1",BI554,0)</f>
        <v>0</v>
      </c>
      <c r="AD554" s="28">
        <f>IF(AQ554="7",BH554,0)</f>
        <v>0</v>
      </c>
      <c r="AE554" s="28">
        <f>IF(AQ554="7",BI554,0)</f>
        <v>0</v>
      </c>
      <c r="AF554" s="28">
        <f>IF(AQ554="2",BH554,0)</f>
        <v>0</v>
      </c>
      <c r="AG554" s="28">
        <f>IF(AQ554="2",BI554,0)</f>
        <v>0</v>
      </c>
      <c r="AH554" s="28">
        <f>IF(AQ554="0",BJ554,0)</f>
        <v>0</v>
      </c>
      <c r="AI554" s="10" t="s">
        <v>236</v>
      </c>
      <c r="AJ554" s="28">
        <f>IF(AN554=0,J554,0)</f>
        <v>0</v>
      </c>
      <c r="AK554" s="28">
        <f>IF(AN554=12,J554,0)</f>
        <v>0</v>
      </c>
      <c r="AL554" s="28">
        <f>IF(AN554=21,J554,0)</f>
        <v>0</v>
      </c>
      <c r="AN554" s="28">
        <v>21</v>
      </c>
      <c r="AO554" s="28">
        <f>G554*0.190941839</f>
        <v>0</v>
      </c>
      <c r="AP554" s="28">
        <f>G554*(1-0.190941839)</f>
        <v>0</v>
      </c>
      <c r="AQ554" s="30" t="s">
        <v>98</v>
      </c>
      <c r="AV554" s="28">
        <f>AW554+AX554</f>
        <v>0</v>
      </c>
      <c r="AW554" s="28">
        <f>F554*AO554</f>
        <v>0</v>
      </c>
      <c r="AX554" s="28">
        <f>F554*AP554</f>
        <v>0</v>
      </c>
      <c r="AY554" s="30" t="s">
        <v>168</v>
      </c>
      <c r="AZ554" s="30" t="s">
        <v>876</v>
      </c>
      <c r="BA554" s="10" t="s">
        <v>242</v>
      </c>
      <c r="BC554" s="28">
        <f>AW554+AX554</f>
        <v>0</v>
      </c>
      <c r="BD554" s="28">
        <f>G554/(100-BE554)*100</f>
        <v>0</v>
      </c>
      <c r="BE554" s="28">
        <v>0</v>
      </c>
      <c r="BF554" s="28">
        <f>554</f>
        <v>554</v>
      </c>
      <c r="BH554" s="28">
        <f>F554*AO554</f>
        <v>0</v>
      </c>
      <c r="BI554" s="28">
        <f>F554*AP554</f>
        <v>0</v>
      </c>
      <c r="BJ554" s="28">
        <f>F554*G554</f>
        <v>0</v>
      </c>
      <c r="BK554" s="28"/>
      <c r="BL554" s="28">
        <v>767</v>
      </c>
      <c r="BW554" s="28">
        <v>21</v>
      </c>
    </row>
    <row r="555" spans="1:75" x14ac:dyDescent="0.25">
      <c r="A555" s="31"/>
      <c r="C555" s="32" t="s">
        <v>1042</v>
      </c>
      <c r="D555" s="32" t="s">
        <v>1043</v>
      </c>
      <c r="F555" s="33">
        <v>621.70000000000005</v>
      </c>
      <c r="K555" s="34"/>
    </row>
    <row r="556" spans="1:75" x14ac:dyDescent="0.25">
      <c r="A556" s="31"/>
      <c r="C556" s="32" t="s">
        <v>1044</v>
      </c>
      <c r="D556" s="32" t="s">
        <v>1045</v>
      </c>
      <c r="F556" s="33">
        <v>697.1</v>
      </c>
      <c r="K556" s="34"/>
    </row>
    <row r="557" spans="1:75" x14ac:dyDescent="0.25">
      <c r="A557" s="31"/>
      <c r="C557" s="32" t="s">
        <v>1046</v>
      </c>
      <c r="D557" s="32" t="s">
        <v>1047</v>
      </c>
      <c r="F557" s="33">
        <v>805.4</v>
      </c>
      <c r="K557" s="34"/>
    </row>
    <row r="558" spans="1:75" ht="13.5" customHeight="1" x14ac:dyDescent="0.25">
      <c r="A558" s="2" t="s">
        <v>1048</v>
      </c>
      <c r="B558" s="3" t="s">
        <v>1049</v>
      </c>
      <c r="C558" s="83" t="s">
        <v>1050</v>
      </c>
      <c r="D558" s="80"/>
      <c r="E558" s="3" t="s">
        <v>71</v>
      </c>
      <c r="F558" s="28">
        <v>0.65278999999999998</v>
      </c>
      <c r="G558" s="28">
        <v>0</v>
      </c>
      <c r="H558" s="28">
        <f>F558*AO558</f>
        <v>0</v>
      </c>
      <c r="I558" s="28">
        <f>F558*AP558</f>
        <v>0</v>
      </c>
      <c r="J558" s="28">
        <f>F558*G558</f>
        <v>0</v>
      </c>
      <c r="K558" s="29" t="s">
        <v>61</v>
      </c>
      <c r="Z558" s="28">
        <f>IF(AQ558="5",BJ558,0)</f>
        <v>0</v>
      </c>
      <c r="AB558" s="28">
        <f>IF(AQ558="1",BH558,0)</f>
        <v>0</v>
      </c>
      <c r="AC558" s="28">
        <f>IF(AQ558="1",BI558,0)</f>
        <v>0</v>
      </c>
      <c r="AD558" s="28">
        <f>IF(AQ558="7",BH558,0)</f>
        <v>0</v>
      </c>
      <c r="AE558" s="28">
        <f>IF(AQ558="7",BI558,0)</f>
        <v>0</v>
      </c>
      <c r="AF558" s="28">
        <f>IF(AQ558="2",BH558,0)</f>
        <v>0</v>
      </c>
      <c r="AG558" s="28">
        <f>IF(AQ558="2",BI558,0)</f>
        <v>0</v>
      </c>
      <c r="AH558" s="28">
        <f>IF(AQ558="0",BJ558,0)</f>
        <v>0</v>
      </c>
      <c r="AI558" s="10" t="s">
        <v>236</v>
      </c>
      <c r="AJ558" s="28">
        <f>IF(AN558=0,J558,0)</f>
        <v>0</v>
      </c>
      <c r="AK558" s="28">
        <f>IF(AN558=12,J558,0)</f>
        <v>0</v>
      </c>
      <c r="AL558" s="28">
        <f>IF(AN558=21,J558,0)</f>
        <v>0</v>
      </c>
      <c r="AN558" s="28">
        <v>21</v>
      </c>
      <c r="AO558" s="28">
        <f>G558*1</f>
        <v>0</v>
      </c>
      <c r="AP558" s="28">
        <f>G558*(1-1)</f>
        <v>0</v>
      </c>
      <c r="AQ558" s="30" t="s">
        <v>98</v>
      </c>
      <c r="AV558" s="28">
        <f>AW558+AX558</f>
        <v>0</v>
      </c>
      <c r="AW558" s="28">
        <f>F558*AO558</f>
        <v>0</v>
      </c>
      <c r="AX558" s="28">
        <f>F558*AP558</f>
        <v>0</v>
      </c>
      <c r="AY558" s="30" t="s">
        <v>168</v>
      </c>
      <c r="AZ558" s="30" t="s">
        <v>876</v>
      </c>
      <c r="BA558" s="10" t="s">
        <v>242</v>
      </c>
      <c r="BC558" s="28">
        <f>AW558+AX558</f>
        <v>0</v>
      </c>
      <c r="BD558" s="28">
        <f>G558/(100-BE558)*100</f>
        <v>0</v>
      </c>
      <c r="BE558" s="28">
        <v>0</v>
      </c>
      <c r="BF558" s="28">
        <f>558</f>
        <v>558</v>
      </c>
      <c r="BH558" s="28">
        <f>F558*AO558</f>
        <v>0</v>
      </c>
      <c r="BI558" s="28">
        <f>F558*AP558</f>
        <v>0</v>
      </c>
      <c r="BJ558" s="28">
        <f>F558*G558</f>
        <v>0</v>
      </c>
      <c r="BK558" s="28"/>
      <c r="BL558" s="28">
        <v>767</v>
      </c>
      <c r="BW558" s="28">
        <v>21</v>
      </c>
    </row>
    <row r="559" spans="1:75" x14ac:dyDescent="0.25">
      <c r="A559" s="31"/>
      <c r="C559" s="32" t="s">
        <v>1051</v>
      </c>
      <c r="D559" s="32" t="s">
        <v>52</v>
      </c>
      <c r="F559" s="33">
        <v>0.62170000000000003</v>
      </c>
      <c r="K559" s="34"/>
    </row>
    <row r="560" spans="1:75" x14ac:dyDescent="0.25">
      <c r="A560" s="31"/>
      <c r="C560" s="32" t="s">
        <v>1052</v>
      </c>
      <c r="D560" s="32" t="s">
        <v>52</v>
      </c>
      <c r="F560" s="33">
        <v>3.109E-2</v>
      </c>
      <c r="K560" s="34"/>
    </row>
    <row r="561" spans="1:75" ht="13.5" customHeight="1" x14ac:dyDescent="0.25">
      <c r="A561" s="2" t="s">
        <v>1053</v>
      </c>
      <c r="B561" s="3" t="s">
        <v>1049</v>
      </c>
      <c r="C561" s="83" t="s">
        <v>1054</v>
      </c>
      <c r="D561" s="80"/>
      <c r="E561" s="3" t="s">
        <v>71</v>
      </c>
      <c r="F561" s="28">
        <v>0.73194999999999999</v>
      </c>
      <c r="G561" s="28">
        <v>0</v>
      </c>
      <c r="H561" s="28">
        <f>F561*AO561</f>
        <v>0</v>
      </c>
      <c r="I561" s="28">
        <f>F561*AP561</f>
        <v>0</v>
      </c>
      <c r="J561" s="28">
        <f>F561*G561</f>
        <v>0</v>
      </c>
      <c r="K561" s="29" t="s">
        <v>61</v>
      </c>
      <c r="Z561" s="28">
        <f>IF(AQ561="5",BJ561,0)</f>
        <v>0</v>
      </c>
      <c r="AB561" s="28">
        <f>IF(AQ561="1",BH561,0)</f>
        <v>0</v>
      </c>
      <c r="AC561" s="28">
        <f>IF(AQ561="1",BI561,0)</f>
        <v>0</v>
      </c>
      <c r="AD561" s="28">
        <f>IF(AQ561="7",BH561,0)</f>
        <v>0</v>
      </c>
      <c r="AE561" s="28">
        <f>IF(AQ561="7",BI561,0)</f>
        <v>0</v>
      </c>
      <c r="AF561" s="28">
        <f>IF(AQ561="2",BH561,0)</f>
        <v>0</v>
      </c>
      <c r="AG561" s="28">
        <f>IF(AQ561="2",BI561,0)</f>
        <v>0</v>
      </c>
      <c r="AH561" s="28">
        <f>IF(AQ561="0",BJ561,0)</f>
        <v>0</v>
      </c>
      <c r="AI561" s="10" t="s">
        <v>236</v>
      </c>
      <c r="AJ561" s="28">
        <f>IF(AN561=0,J561,0)</f>
        <v>0</v>
      </c>
      <c r="AK561" s="28">
        <f>IF(AN561=12,J561,0)</f>
        <v>0</v>
      </c>
      <c r="AL561" s="28">
        <f>IF(AN561=21,J561,0)</f>
        <v>0</v>
      </c>
      <c r="AN561" s="28">
        <v>21</v>
      </c>
      <c r="AO561" s="28">
        <f>G561*1</f>
        <v>0</v>
      </c>
      <c r="AP561" s="28">
        <f>G561*(1-1)</f>
        <v>0</v>
      </c>
      <c r="AQ561" s="30" t="s">
        <v>98</v>
      </c>
      <c r="AV561" s="28">
        <f>AW561+AX561</f>
        <v>0</v>
      </c>
      <c r="AW561" s="28">
        <f>F561*AO561</f>
        <v>0</v>
      </c>
      <c r="AX561" s="28">
        <f>F561*AP561</f>
        <v>0</v>
      </c>
      <c r="AY561" s="30" t="s">
        <v>168</v>
      </c>
      <c r="AZ561" s="30" t="s">
        <v>876</v>
      </c>
      <c r="BA561" s="10" t="s">
        <v>242</v>
      </c>
      <c r="BC561" s="28">
        <f>AW561+AX561</f>
        <v>0</v>
      </c>
      <c r="BD561" s="28">
        <f>G561/(100-BE561)*100</f>
        <v>0</v>
      </c>
      <c r="BE561" s="28">
        <v>0</v>
      </c>
      <c r="BF561" s="28">
        <f>561</f>
        <v>561</v>
      </c>
      <c r="BH561" s="28">
        <f>F561*AO561</f>
        <v>0</v>
      </c>
      <c r="BI561" s="28">
        <f>F561*AP561</f>
        <v>0</v>
      </c>
      <c r="BJ561" s="28">
        <f>F561*G561</f>
        <v>0</v>
      </c>
      <c r="BK561" s="28"/>
      <c r="BL561" s="28">
        <v>767</v>
      </c>
      <c r="BW561" s="28">
        <v>21</v>
      </c>
    </row>
    <row r="562" spans="1:75" x14ac:dyDescent="0.25">
      <c r="A562" s="31"/>
      <c r="C562" s="32" t="s">
        <v>1055</v>
      </c>
      <c r="D562" s="32" t="s">
        <v>52</v>
      </c>
      <c r="F562" s="33">
        <v>0.69710000000000005</v>
      </c>
      <c r="K562" s="34"/>
    </row>
    <row r="563" spans="1:75" x14ac:dyDescent="0.25">
      <c r="A563" s="31"/>
      <c r="C563" s="32" t="s">
        <v>1056</v>
      </c>
      <c r="D563" s="32" t="s">
        <v>52</v>
      </c>
      <c r="F563" s="33">
        <v>3.4849999999999999E-2</v>
      </c>
      <c r="K563" s="34"/>
    </row>
    <row r="564" spans="1:75" ht="13.5" customHeight="1" x14ac:dyDescent="0.25">
      <c r="A564" s="2" t="s">
        <v>1057</v>
      </c>
      <c r="B564" s="3" t="s">
        <v>1049</v>
      </c>
      <c r="C564" s="83" t="s">
        <v>1058</v>
      </c>
      <c r="D564" s="80"/>
      <c r="E564" s="3" t="s">
        <v>71</v>
      </c>
      <c r="F564" s="28">
        <v>0.84567000000000003</v>
      </c>
      <c r="G564" s="28">
        <v>0</v>
      </c>
      <c r="H564" s="28">
        <f>F564*AO564</f>
        <v>0</v>
      </c>
      <c r="I564" s="28">
        <f>F564*AP564</f>
        <v>0</v>
      </c>
      <c r="J564" s="28">
        <f>F564*G564</f>
        <v>0</v>
      </c>
      <c r="K564" s="29" t="s">
        <v>61</v>
      </c>
      <c r="Z564" s="28">
        <f>IF(AQ564="5",BJ564,0)</f>
        <v>0</v>
      </c>
      <c r="AB564" s="28">
        <f>IF(AQ564="1",BH564,0)</f>
        <v>0</v>
      </c>
      <c r="AC564" s="28">
        <f>IF(AQ564="1",BI564,0)</f>
        <v>0</v>
      </c>
      <c r="AD564" s="28">
        <f>IF(AQ564="7",BH564,0)</f>
        <v>0</v>
      </c>
      <c r="AE564" s="28">
        <f>IF(AQ564="7",BI564,0)</f>
        <v>0</v>
      </c>
      <c r="AF564" s="28">
        <f>IF(AQ564="2",BH564,0)</f>
        <v>0</v>
      </c>
      <c r="AG564" s="28">
        <f>IF(AQ564="2",BI564,0)</f>
        <v>0</v>
      </c>
      <c r="AH564" s="28">
        <f>IF(AQ564="0",BJ564,0)</f>
        <v>0</v>
      </c>
      <c r="AI564" s="10" t="s">
        <v>236</v>
      </c>
      <c r="AJ564" s="28">
        <f>IF(AN564=0,J564,0)</f>
        <v>0</v>
      </c>
      <c r="AK564" s="28">
        <f>IF(AN564=12,J564,0)</f>
        <v>0</v>
      </c>
      <c r="AL564" s="28">
        <f>IF(AN564=21,J564,0)</f>
        <v>0</v>
      </c>
      <c r="AN564" s="28">
        <v>21</v>
      </c>
      <c r="AO564" s="28">
        <f>G564*1</f>
        <v>0</v>
      </c>
      <c r="AP564" s="28">
        <f>G564*(1-1)</f>
        <v>0</v>
      </c>
      <c r="AQ564" s="30" t="s">
        <v>98</v>
      </c>
      <c r="AV564" s="28">
        <f>AW564+AX564</f>
        <v>0</v>
      </c>
      <c r="AW564" s="28">
        <f>F564*AO564</f>
        <v>0</v>
      </c>
      <c r="AX564" s="28">
        <f>F564*AP564</f>
        <v>0</v>
      </c>
      <c r="AY564" s="30" t="s">
        <v>168</v>
      </c>
      <c r="AZ564" s="30" t="s">
        <v>876</v>
      </c>
      <c r="BA564" s="10" t="s">
        <v>242</v>
      </c>
      <c r="BC564" s="28">
        <f>AW564+AX564</f>
        <v>0</v>
      </c>
      <c r="BD564" s="28">
        <f>G564/(100-BE564)*100</f>
        <v>0</v>
      </c>
      <c r="BE564" s="28">
        <v>0</v>
      </c>
      <c r="BF564" s="28">
        <f>564</f>
        <v>564</v>
      </c>
      <c r="BH564" s="28">
        <f>F564*AO564</f>
        <v>0</v>
      </c>
      <c r="BI564" s="28">
        <f>F564*AP564</f>
        <v>0</v>
      </c>
      <c r="BJ564" s="28">
        <f>F564*G564</f>
        <v>0</v>
      </c>
      <c r="BK564" s="28"/>
      <c r="BL564" s="28">
        <v>767</v>
      </c>
      <c r="BW564" s="28">
        <v>21</v>
      </c>
    </row>
    <row r="565" spans="1:75" x14ac:dyDescent="0.25">
      <c r="A565" s="31"/>
      <c r="C565" s="32" t="s">
        <v>1059</v>
      </c>
      <c r="D565" s="32" t="s">
        <v>52</v>
      </c>
      <c r="F565" s="33">
        <v>0.8054</v>
      </c>
      <c r="K565" s="34"/>
    </row>
    <row r="566" spans="1:75" x14ac:dyDescent="0.25">
      <c r="A566" s="31"/>
      <c r="C566" s="32" t="s">
        <v>1060</v>
      </c>
      <c r="D566" s="32" t="s">
        <v>52</v>
      </c>
      <c r="F566" s="33">
        <v>4.027E-2</v>
      </c>
      <c r="K566" s="34"/>
    </row>
    <row r="567" spans="1:75" ht="13.5" customHeight="1" x14ac:dyDescent="0.25">
      <c r="A567" s="2" t="s">
        <v>1061</v>
      </c>
      <c r="B567" s="3" t="s">
        <v>1062</v>
      </c>
      <c r="C567" s="83" t="s">
        <v>1063</v>
      </c>
      <c r="D567" s="80"/>
      <c r="E567" s="3" t="s">
        <v>975</v>
      </c>
      <c r="F567" s="28">
        <v>1886.3</v>
      </c>
      <c r="G567" s="28">
        <v>0</v>
      </c>
      <c r="H567" s="28">
        <f>F567*AO567</f>
        <v>0</v>
      </c>
      <c r="I567" s="28">
        <f>F567*AP567</f>
        <v>0</v>
      </c>
      <c r="J567" s="28">
        <f>F567*G567</f>
        <v>0</v>
      </c>
      <c r="K567" s="29" t="s">
        <v>61</v>
      </c>
      <c r="Z567" s="28">
        <f>IF(AQ567="5",BJ567,0)</f>
        <v>0</v>
      </c>
      <c r="AB567" s="28">
        <f>IF(AQ567="1",BH567,0)</f>
        <v>0</v>
      </c>
      <c r="AC567" s="28">
        <f>IF(AQ567="1",BI567,0)</f>
        <v>0</v>
      </c>
      <c r="AD567" s="28">
        <f>IF(AQ567="7",BH567,0)</f>
        <v>0</v>
      </c>
      <c r="AE567" s="28">
        <f>IF(AQ567="7",BI567,0)</f>
        <v>0</v>
      </c>
      <c r="AF567" s="28">
        <f>IF(AQ567="2",BH567,0)</f>
        <v>0</v>
      </c>
      <c r="AG567" s="28">
        <f>IF(AQ567="2",BI567,0)</f>
        <v>0</v>
      </c>
      <c r="AH567" s="28">
        <f>IF(AQ567="0",BJ567,0)</f>
        <v>0</v>
      </c>
      <c r="AI567" s="10" t="s">
        <v>236</v>
      </c>
      <c r="AJ567" s="28">
        <f>IF(AN567=0,J567,0)</f>
        <v>0</v>
      </c>
      <c r="AK567" s="28">
        <f>IF(AN567=12,J567,0)</f>
        <v>0</v>
      </c>
      <c r="AL567" s="28">
        <f>IF(AN567=21,J567,0)</f>
        <v>0</v>
      </c>
      <c r="AN567" s="28">
        <v>21</v>
      </c>
      <c r="AO567" s="28">
        <f>G567*0.182121212</f>
        <v>0</v>
      </c>
      <c r="AP567" s="28">
        <f>G567*(1-0.182121212)</f>
        <v>0</v>
      </c>
      <c r="AQ567" s="30" t="s">
        <v>98</v>
      </c>
      <c r="AV567" s="28">
        <f>AW567+AX567</f>
        <v>0</v>
      </c>
      <c r="AW567" s="28">
        <f>F567*AO567</f>
        <v>0</v>
      </c>
      <c r="AX567" s="28">
        <f>F567*AP567</f>
        <v>0</v>
      </c>
      <c r="AY567" s="30" t="s">
        <v>168</v>
      </c>
      <c r="AZ567" s="30" t="s">
        <v>876</v>
      </c>
      <c r="BA567" s="10" t="s">
        <v>242</v>
      </c>
      <c r="BC567" s="28">
        <f>AW567+AX567</f>
        <v>0</v>
      </c>
      <c r="BD567" s="28">
        <f>G567/(100-BE567)*100</f>
        <v>0</v>
      </c>
      <c r="BE567" s="28">
        <v>0</v>
      </c>
      <c r="BF567" s="28">
        <f>567</f>
        <v>567</v>
      </c>
      <c r="BH567" s="28">
        <f>F567*AO567</f>
        <v>0</v>
      </c>
      <c r="BI567" s="28">
        <f>F567*AP567</f>
        <v>0</v>
      </c>
      <c r="BJ567" s="28">
        <f>F567*G567</f>
        <v>0</v>
      </c>
      <c r="BK567" s="28"/>
      <c r="BL567" s="28">
        <v>767</v>
      </c>
      <c r="BW567" s="28">
        <v>21</v>
      </c>
    </row>
    <row r="568" spans="1:75" x14ac:dyDescent="0.25">
      <c r="A568" s="31"/>
      <c r="C568" s="32" t="s">
        <v>1064</v>
      </c>
      <c r="D568" s="32" t="s">
        <v>1065</v>
      </c>
      <c r="F568" s="33">
        <v>35.299999999999997</v>
      </c>
      <c r="K568" s="34"/>
    </row>
    <row r="569" spans="1:75" x14ac:dyDescent="0.25">
      <c r="A569" s="31"/>
      <c r="C569" s="32" t="s">
        <v>1066</v>
      </c>
      <c r="D569" s="32" t="s">
        <v>1067</v>
      </c>
      <c r="F569" s="33">
        <v>148.4</v>
      </c>
      <c r="K569" s="34"/>
    </row>
    <row r="570" spans="1:75" x14ac:dyDescent="0.25">
      <c r="A570" s="31"/>
      <c r="C570" s="32" t="s">
        <v>1068</v>
      </c>
      <c r="D570" s="32" t="s">
        <v>1069</v>
      </c>
      <c r="F570" s="33">
        <v>141.30000000000001</v>
      </c>
      <c r="K570" s="34"/>
    </row>
    <row r="571" spans="1:75" x14ac:dyDescent="0.25">
      <c r="A571" s="31"/>
      <c r="C571" s="32" t="s">
        <v>1070</v>
      </c>
      <c r="D571" s="32" t="s">
        <v>1071</v>
      </c>
      <c r="F571" s="33">
        <v>17.7</v>
      </c>
      <c r="K571" s="34"/>
    </row>
    <row r="572" spans="1:75" x14ac:dyDescent="0.25">
      <c r="A572" s="31"/>
      <c r="C572" s="32" t="s">
        <v>1072</v>
      </c>
      <c r="D572" s="32" t="s">
        <v>1073</v>
      </c>
      <c r="F572" s="33">
        <v>147.19999999999999</v>
      </c>
      <c r="K572" s="34"/>
    </row>
    <row r="573" spans="1:75" x14ac:dyDescent="0.25">
      <c r="A573" s="31"/>
      <c r="C573" s="32" t="s">
        <v>1074</v>
      </c>
      <c r="D573" s="32" t="s">
        <v>1075</v>
      </c>
      <c r="F573" s="33">
        <v>471</v>
      </c>
      <c r="K573" s="34"/>
    </row>
    <row r="574" spans="1:75" x14ac:dyDescent="0.25">
      <c r="A574" s="31"/>
      <c r="C574" s="32" t="s">
        <v>1076</v>
      </c>
      <c r="D574" s="32" t="s">
        <v>1077</v>
      </c>
      <c r="F574" s="33">
        <v>565.20000000000005</v>
      </c>
      <c r="K574" s="34"/>
    </row>
    <row r="575" spans="1:75" x14ac:dyDescent="0.25">
      <c r="A575" s="31"/>
      <c r="C575" s="32" t="s">
        <v>1078</v>
      </c>
      <c r="D575" s="32" t="s">
        <v>1079</v>
      </c>
      <c r="F575" s="33">
        <v>71.7</v>
      </c>
      <c r="K575" s="34"/>
    </row>
    <row r="576" spans="1:75" x14ac:dyDescent="0.25">
      <c r="A576" s="31"/>
      <c r="C576" s="32" t="s">
        <v>1080</v>
      </c>
      <c r="D576" s="32" t="s">
        <v>1081</v>
      </c>
      <c r="F576" s="33">
        <v>288.5</v>
      </c>
      <c r="K576" s="34"/>
    </row>
    <row r="577" spans="1:75" ht="13.5" customHeight="1" x14ac:dyDescent="0.25">
      <c r="A577" s="2" t="s">
        <v>1082</v>
      </c>
      <c r="B577" s="3" t="s">
        <v>1049</v>
      </c>
      <c r="C577" s="83" t="s">
        <v>1083</v>
      </c>
      <c r="D577" s="80"/>
      <c r="E577" s="3" t="s">
        <v>71</v>
      </c>
      <c r="F577" s="28">
        <v>3.7069999999999999E-2</v>
      </c>
      <c r="G577" s="28">
        <v>0</v>
      </c>
      <c r="H577" s="28">
        <f>F577*AO577</f>
        <v>0</v>
      </c>
      <c r="I577" s="28">
        <f>F577*AP577</f>
        <v>0</v>
      </c>
      <c r="J577" s="28">
        <f>F577*G577</f>
        <v>0</v>
      </c>
      <c r="K577" s="29" t="s">
        <v>61</v>
      </c>
      <c r="Z577" s="28">
        <f>IF(AQ577="5",BJ577,0)</f>
        <v>0</v>
      </c>
      <c r="AB577" s="28">
        <f>IF(AQ577="1",BH577,0)</f>
        <v>0</v>
      </c>
      <c r="AC577" s="28">
        <f>IF(AQ577="1",BI577,0)</f>
        <v>0</v>
      </c>
      <c r="AD577" s="28">
        <f>IF(AQ577="7",BH577,0)</f>
        <v>0</v>
      </c>
      <c r="AE577" s="28">
        <f>IF(AQ577="7",BI577,0)</f>
        <v>0</v>
      </c>
      <c r="AF577" s="28">
        <f>IF(AQ577="2",BH577,0)</f>
        <v>0</v>
      </c>
      <c r="AG577" s="28">
        <f>IF(AQ577="2",BI577,0)</f>
        <v>0</v>
      </c>
      <c r="AH577" s="28">
        <f>IF(AQ577="0",BJ577,0)</f>
        <v>0</v>
      </c>
      <c r="AI577" s="10" t="s">
        <v>236</v>
      </c>
      <c r="AJ577" s="28">
        <f>IF(AN577=0,J577,0)</f>
        <v>0</v>
      </c>
      <c r="AK577" s="28">
        <f>IF(AN577=12,J577,0)</f>
        <v>0</v>
      </c>
      <c r="AL577" s="28">
        <f>IF(AN577=21,J577,0)</f>
        <v>0</v>
      </c>
      <c r="AN577" s="28">
        <v>21</v>
      </c>
      <c r="AO577" s="28">
        <f>G577*1</f>
        <v>0</v>
      </c>
      <c r="AP577" s="28">
        <f>G577*(1-1)</f>
        <v>0</v>
      </c>
      <c r="AQ577" s="30" t="s">
        <v>98</v>
      </c>
      <c r="AV577" s="28">
        <f>AW577+AX577</f>
        <v>0</v>
      </c>
      <c r="AW577" s="28">
        <f>F577*AO577</f>
        <v>0</v>
      </c>
      <c r="AX577" s="28">
        <f>F577*AP577</f>
        <v>0</v>
      </c>
      <c r="AY577" s="30" t="s">
        <v>168</v>
      </c>
      <c r="AZ577" s="30" t="s">
        <v>876</v>
      </c>
      <c r="BA577" s="10" t="s">
        <v>242</v>
      </c>
      <c r="BC577" s="28">
        <f>AW577+AX577</f>
        <v>0</v>
      </c>
      <c r="BD577" s="28">
        <f>G577/(100-BE577)*100</f>
        <v>0</v>
      </c>
      <c r="BE577" s="28">
        <v>0</v>
      </c>
      <c r="BF577" s="28">
        <f>577</f>
        <v>577</v>
      </c>
      <c r="BH577" s="28">
        <f>F577*AO577</f>
        <v>0</v>
      </c>
      <c r="BI577" s="28">
        <f>F577*AP577</f>
        <v>0</v>
      </c>
      <c r="BJ577" s="28">
        <f>F577*G577</f>
        <v>0</v>
      </c>
      <c r="BK577" s="28"/>
      <c r="BL577" s="28">
        <v>767</v>
      </c>
      <c r="BW577" s="28">
        <v>21</v>
      </c>
    </row>
    <row r="578" spans="1:75" x14ac:dyDescent="0.25">
      <c r="A578" s="31"/>
      <c r="C578" s="32" t="s">
        <v>1084</v>
      </c>
      <c r="D578" s="32" t="s">
        <v>52</v>
      </c>
      <c r="F578" s="33">
        <v>3.5299999999999998E-2</v>
      </c>
      <c r="K578" s="34"/>
    </row>
    <row r="579" spans="1:75" x14ac:dyDescent="0.25">
      <c r="A579" s="31"/>
      <c r="C579" s="32" t="s">
        <v>1085</v>
      </c>
      <c r="D579" s="32" t="s">
        <v>52</v>
      </c>
      <c r="F579" s="33">
        <v>1.7700000000000001E-3</v>
      </c>
      <c r="K579" s="34"/>
    </row>
    <row r="580" spans="1:75" ht="13.5" customHeight="1" x14ac:dyDescent="0.25">
      <c r="A580" s="2" t="s">
        <v>1086</v>
      </c>
      <c r="B580" s="3" t="s">
        <v>1049</v>
      </c>
      <c r="C580" s="83" t="s">
        <v>1087</v>
      </c>
      <c r="D580" s="80"/>
      <c r="E580" s="3" t="s">
        <v>71</v>
      </c>
      <c r="F580" s="28">
        <v>0.15581999999999999</v>
      </c>
      <c r="G580" s="28">
        <v>0</v>
      </c>
      <c r="H580" s="28">
        <f>F580*AO580</f>
        <v>0</v>
      </c>
      <c r="I580" s="28">
        <f>F580*AP580</f>
        <v>0</v>
      </c>
      <c r="J580" s="28">
        <f>F580*G580</f>
        <v>0</v>
      </c>
      <c r="K580" s="29" t="s">
        <v>61</v>
      </c>
      <c r="Z580" s="28">
        <f>IF(AQ580="5",BJ580,0)</f>
        <v>0</v>
      </c>
      <c r="AB580" s="28">
        <f>IF(AQ580="1",BH580,0)</f>
        <v>0</v>
      </c>
      <c r="AC580" s="28">
        <f>IF(AQ580="1",BI580,0)</f>
        <v>0</v>
      </c>
      <c r="AD580" s="28">
        <f>IF(AQ580="7",BH580,0)</f>
        <v>0</v>
      </c>
      <c r="AE580" s="28">
        <f>IF(AQ580="7",BI580,0)</f>
        <v>0</v>
      </c>
      <c r="AF580" s="28">
        <f>IF(AQ580="2",BH580,0)</f>
        <v>0</v>
      </c>
      <c r="AG580" s="28">
        <f>IF(AQ580="2",BI580,0)</f>
        <v>0</v>
      </c>
      <c r="AH580" s="28">
        <f>IF(AQ580="0",BJ580,0)</f>
        <v>0</v>
      </c>
      <c r="AI580" s="10" t="s">
        <v>236</v>
      </c>
      <c r="AJ580" s="28">
        <f>IF(AN580=0,J580,0)</f>
        <v>0</v>
      </c>
      <c r="AK580" s="28">
        <f>IF(AN580=12,J580,0)</f>
        <v>0</v>
      </c>
      <c r="AL580" s="28">
        <f>IF(AN580=21,J580,0)</f>
        <v>0</v>
      </c>
      <c r="AN580" s="28">
        <v>21</v>
      </c>
      <c r="AO580" s="28">
        <f>G580*1</f>
        <v>0</v>
      </c>
      <c r="AP580" s="28">
        <f>G580*(1-1)</f>
        <v>0</v>
      </c>
      <c r="AQ580" s="30" t="s">
        <v>98</v>
      </c>
      <c r="AV580" s="28">
        <f>AW580+AX580</f>
        <v>0</v>
      </c>
      <c r="AW580" s="28">
        <f>F580*AO580</f>
        <v>0</v>
      </c>
      <c r="AX580" s="28">
        <f>F580*AP580</f>
        <v>0</v>
      </c>
      <c r="AY580" s="30" t="s">
        <v>168</v>
      </c>
      <c r="AZ580" s="30" t="s">
        <v>876</v>
      </c>
      <c r="BA580" s="10" t="s">
        <v>242</v>
      </c>
      <c r="BC580" s="28">
        <f>AW580+AX580</f>
        <v>0</v>
      </c>
      <c r="BD580" s="28">
        <f>G580/(100-BE580)*100</f>
        <v>0</v>
      </c>
      <c r="BE580" s="28">
        <v>0</v>
      </c>
      <c r="BF580" s="28">
        <f>580</f>
        <v>580</v>
      </c>
      <c r="BH580" s="28">
        <f>F580*AO580</f>
        <v>0</v>
      </c>
      <c r="BI580" s="28">
        <f>F580*AP580</f>
        <v>0</v>
      </c>
      <c r="BJ580" s="28">
        <f>F580*G580</f>
        <v>0</v>
      </c>
      <c r="BK580" s="28"/>
      <c r="BL580" s="28">
        <v>767</v>
      </c>
      <c r="BW580" s="28">
        <v>21</v>
      </c>
    </row>
    <row r="581" spans="1:75" x14ac:dyDescent="0.25">
      <c r="A581" s="31"/>
      <c r="C581" s="32" t="s">
        <v>1088</v>
      </c>
      <c r="D581" s="32" t="s">
        <v>52</v>
      </c>
      <c r="F581" s="33">
        <v>0.1484</v>
      </c>
      <c r="K581" s="34"/>
    </row>
    <row r="582" spans="1:75" x14ac:dyDescent="0.25">
      <c r="A582" s="31"/>
      <c r="C582" s="32" t="s">
        <v>1089</v>
      </c>
      <c r="D582" s="32" t="s">
        <v>52</v>
      </c>
      <c r="F582" s="33">
        <v>7.4200000000000004E-3</v>
      </c>
      <c r="K582" s="34"/>
    </row>
    <row r="583" spans="1:75" ht="13.5" customHeight="1" x14ac:dyDescent="0.25">
      <c r="A583" s="2" t="s">
        <v>1090</v>
      </c>
      <c r="B583" s="3" t="s">
        <v>1049</v>
      </c>
      <c r="C583" s="83" t="s">
        <v>1091</v>
      </c>
      <c r="D583" s="80"/>
      <c r="E583" s="3" t="s">
        <v>71</v>
      </c>
      <c r="F583" s="28">
        <v>0.14837</v>
      </c>
      <c r="G583" s="28">
        <v>0</v>
      </c>
      <c r="H583" s="28">
        <f>F583*AO583</f>
        <v>0</v>
      </c>
      <c r="I583" s="28">
        <f>F583*AP583</f>
        <v>0</v>
      </c>
      <c r="J583" s="28">
        <f>F583*G583</f>
        <v>0</v>
      </c>
      <c r="K583" s="29" t="s">
        <v>61</v>
      </c>
      <c r="Z583" s="28">
        <f>IF(AQ583="5",BJ583,0)</f>
        <v>0</v>
      </c>
      <c r="AB583" s="28">
        <f>IF(AQ583="1",BH583,0)</f>
        <v>0</v>
      </c>
      <c r="AC583" s="28">
        <f>IF(AQ583="1",BI583,0)</f>
        <v>0</v>
      </c>
      <c r="AD583" s="28">
        <f>IF(AQ583="7",BH583,0)</f>
        <v>0</v>
      </c>
      <c r="AE583" s="28">
        <f>IF(AQ583="7",BI583,0)</f>
        <v>0</v>
      </c>
      <c r="AF583" s="28">
        <f>IF(AQ583="2",BH583,0)</f>
        <v>0</v>
      </c>
      <c r="AG583" s="28">
        <f>IF(AQ583="2",BI583,0)</f>
        <v>0</v>
      </c>
      <c r="AH583" s="28">
        <f>IF(AQ583="0",BJ583,0)</f>
        <v>0</v>
      </c>
      <c r="AI583" s="10" t="s">
        <v>236</v>
      </c>
      <c r="AJ583" s="28">
        <f>IF(AN583=0,J583,0)</f>
        <v>0</v>
      </c>
      <c r="AK583" s="28">
        <f>IF(AN583=12,J583,0)</f>
        <v>0</v>
      </c>
      <c r="AL583" s="28">
        <f>IF(AN583=21,J583,0)</f>
        <v>0</v>
      </c>
      <c r="AN583" s="28">
        <v>21</v>
      </c>
      <c r="AO583" s="28">
        <f>G583*1</f>
        <v>0</v>
      </c>
      <c r="AP583" s="28">
        <f>G583*(1-1)</f>
        <v>0</v>
      </c>
      <c r="AQ583" s="30" t="s">
        <v>98</v>
      </c>
      <c r="AV583" s="28">
        <f>AW583+AX583</f>
        <v>0</v>
      </c>
      <c r="AW583" s="28">
        <f>F583*AO583</f>
        <v>0</v>
      </c>
      <c r="AX583" s="28">
        <f>F583*AP583</f>
        <v>0</v>
      </c>
      <c r="AY583" s="30" t="s">
        <v>168</v>
      </c>
      <c r="AZ583" s="30" t="s">
        <v>876</v>
      </c>
      <c r="BA583" s="10" t="s">
        <v>242</v>
      </c>
      <c r="BC583" s="28">
        <f>AW583+AX583</f>
        <v>0</v>
      </c>
      <c r="BD583" s="28">
        <f>G583/(100-BE583)*100</f>
        <v>0</v>
      </c>
      <c r="BE583" s="28">
        <v>0</v>
      </c>
      <c r="BF583" s="28">
        <f>583</f>
        <v>583</v>
      </c>
      <c r="BH583" s="28">
        <f>F583*AO583</f>
        <v>0</v>
      </c>
      <c r="BI583" s="28">
        <f>F583*AP583</f>
        <v>0</v>
      </c>
      <c r="BJ583" s="28">
        <f>F583*G583</f>
        <v>0</v>
      </c>
      <c r="BK583" s="28"/>
      <c r="BL583" s="28">
        <v>767</v>
      </c>
      <c r="BW583" s="28">
        <v>21</v>
      </c>
    </row>
    <row r="584" spans="1:75" x14ac:dyDescent="0.25">
      <c r="A584" s="31"/>
      <c r="C584" s="32" t="s">
        <v>1092</v>
      </c>
      <c r="D584" s="32" t="s">
        <v>52</v>
      </c>
      <c r="F584" s="33">
        <v>0.14130000000000001</v>
      </c>
      <c r="K584" s="34"/>
    </row>
    <row r="585" spans="1:75" x14ac:dyDescent="0.25">
      <c r="A585" s="31"/>
      <c r="C585" s="32" t="s">
        <v>1093</v>
      </c>
      <c r="D585" s="32" t="s">
        <v>52</v>
      </c>
      <c r="F585" s="33">
        <v>7.0699999999999999E-3</v>
      </c>
      <c r="K585" s="34"/>
    </row>
    <row r="586" spans="1:75" ht="13.5" customHeight="1" x14ac:dyDescent="0.25">
      <c r="A586" s="2" t="s">
        <v>1094</v>
      </c>
      <c r="B586" s="3" t="s">
        <v>1049</v>
      </c>
      <c r="C586" s="83" t="s">
        <v>1095</v>
      </c>
      <c r="D586" s="80"/>
      <c r="E586" s="3" t="s">
        <v>71</v>
      </c>
      <c r="F586" s="28">
        <v>1.8589999999999999E-2</v>
      </c>
      <c r="G586" s="28">
        <v>0</v>
      </c>
      <c r="H586" s="28">
        <f>F586*AO586</f>
        <v>0</v>
      </c>
      <c r="I586" s="28">
        <f>F586*AP586</f>
        <v>0</v>
      </c>
      <c r="J586" s="28">
        <f>F586*G586</f>
        <v>0</v>
      </c>
      <c r="K586" s="29" t="s">
        <v>61</v>
      </c>
      <c r="Z586" s="28">
        <f>IF(AQ586="5",BJ586,0)</f>
        <v>0</v>
      </c>
      <c r="AB586" s="28">
        <f>IF(AQ586="1",BH586,0)</f>
        <v>0</v>
      </c>
      <c r="AC586" s="28">
        <f>IF(AQ586="1",BI586,0)</f>
        <v>0</v>
      </c>
      <c r="AD586" s="28">
        <f>IF(AQ586="7",BH586,0)</f>
        <v>0</v>
      </c>
      <c r="AE586" s="28">
        <f>IF(AQ586="7",BI586,0)</f>
        <v>0</v>
      </c>
      <c r="AF586" s="28">
        <f>IF(AQ586="2",BH586,0)</f>
        <v>0</v>
      </c>
      <c r="AG586" s="28">
        <f>IF(AQ586="2",BI586,0)</f>
        <v>0</v>
      </c>
      <c r="AH586" s="28">
        <f>IF(AQ586="0",BJ586,0)</f>
        <v>0</v>
      </c>
      <c r="AI586" s="10" t="s">
        <v>236</v>
      </c>
      <c r="AJ586" s="28">
        <f>IF(AN586=0,J586,0)</f>
        <v>0</v>
      </c>
      <c r="AK586" s="28">
        <f>IF(AN586=12,J586,0)</f>
        <v>0</v>
      </c>
      <c r="AL586" s="28">
        <f>IF(AN586=21,J586,0)</f>
        <v>0</v>
      </c>
      <c r="AN586" s="28">
        <v>21</v>
      </c>
      <c r="AO586" s="28">
        <f>G586*1</f>
        <v>0</v>
      </c>
      <c r="AP586" s="28">
        <f>G586*(1-1)</f>
        <v>0</v>
      </c>
      <c r="AQ586" s="30" t="s">
        <v>98</v>
      </c>
      <c r="AV586" s="28">
        <f>AW586+AX586</f>
        <v>0</v>
      </c>
      <c r="AW586" s="28">
        <f>F586*AO586</f>
        <v>0</v>
      </c>
      <c r="AX586" s="28">
        <f>F586*AP586</f>
        <v>0</v>
      </c>
      <c r="AY586" s="30" t="s">
        <v>168</v>
      </c>
      <c r="AZ586" s="30" t="s">
        <v>876</v>
      </c>
      <c r="BA586" s="10" t="s">
        <v>242</v>
      </c>
      <c r="BC586" s="28">
        <f>AW586+AX586</f>
        <v>0</v>
      </c>
      <c r="BD586" s="28">
        <f>G586/(100-BE586)*100</f>
        <v>0</v>
      </c>
      <c r="BE586" s="28">
        <v>0</v>
      </c>
      <c r="BF586" s="28">
        <f>586</f>
        <v>586</v>
      </c>
      <c r="BH586" s="28">
        <f>F586*AO586</f>
        <v>0</v>
      </c>
      <c r="BI586" s="28">
        <f>F586*AP586</f>
        <v>0</v>
      </c>
      <c r="BJ586" s="28">
        <f>F586*G586</f>
        <v>0</v>
      </c>
      <c r="BK586" s="28"/>
      <c r="BL586" s="28">
        <v>767</v>
      </c>
      <c r="BW586" s="28">
        <v>21</v>
      </c>
    </row>
    <row r="587" spans="1:75" x14ac:dyDescent="0.25">
      <c r="A587" s="31"/>
      <c r="C587" s="32" t="s">
        <v>1096</v>
      </c>
      <c r="D587" s="32" t="s">
        <v>52</v>
      </c>
      <c r="F587" s="33">
        <v>1.77E-2</v>
      </c>
      <c r="K587" s="34"/>
    </row>
    <row r="588" spans="1:75" x14ac:dyDescent="0.25">
      <c r="A588" s="31"/>
      <c r="C588" s="32" t="s">
        <v>1097</v>
      </c>
      <c r="D588" s="32" t="s">
        <v>52</v>
      </c>
      <c r="F588" s="33">
        <v>8.8999999999999995E-4</v>
      </c>
      <c r="K588" s="34"/>
    </row>
    <row r="589" spans="1:75" ht="13.5" customHeight="1" x14ac:dyDescent="0.25">
      <c r="A589" s="2" t="s">
        <v>1098</v>
      </c>
      <c r="B589" s="3" t="s">
        <v>1049</v>
      </c>
      <c r="C589" s="83" t="s">
        <v>1099</v>
      </c>
      <c r="D589" s="80"/>
      <c r="E589" s="3" t="s">
        <v>71</v>
      </c>
      <c r="F589" s="28">
        <v>0.15456</v>
      </c>
      <c r="G589" s="28">
        <v>0</v>
      </c>
      <c r="H589" s="28">
        <f>F589*AO589</f>
        <v>0</v>
      </c>
      <c r="I589" s="28">
        <f>F589*AP589</f>
        <v>0</v>
      </c>
      <c r="J589" s="28">
        <f>F589*G589</f>
        <v>0</v>
      </c>
      <c r="K589" s="29" t="s">
        <v>61</v>
      </c>
      <c r="Z589" s="28">
        <f>IF(AQ589="5",BJ589,0)</f>
        <v>0</v>
      </c>
      <c r="AB589" s="28">
        <f>IF(AQ589="1",BH589,0)</f>
        <v>0</v>
      </c>
      <c r="AC589" s="28">
        <f>IF(AQ589="1",BI589,0)</f>
        <v>0</v>
      </c>
      <c r="AD589" s="28">
        <f>IF(AQ589="7",BH589,0)</f>
        <v>0</v>
      </c>
      <c r="AE589" s="28">
        <f>IF(AQ589="7",BI589,0)</f>
        <v>0</v>
      </c>
      <c r="AF589" s="28">
        <f>IF(AQ589="2",BH589,0)</f>
        <v>0</v>
      </c>
      <c r="AG589" s="28">
        <f>IF(AQ589="2",BI589,0)</f>
        <v>0</v>
      </c>
      <c r="AH589" s="28">
        <f>IF(AQ589="0",BJ589,0)</f>
        <v>0</v>
      </c>
      <c r="AI589" s="10" t="s">
        <v>236</v>
      </c>
      <c r="AJ589" s="28">
        <f>IF(AN589=0,J589,0)</f>
        <v>0</v>
      </c>
      <c r="AK589" s="28">
        <f>IF(AN589=12,J589,0)</f>
        <v>0</v>
      </c>
      <c r="AL589" s="28">
        <f>IF(AN589=21,J589,0)</f>
        <v>0</v>
      </c>
      <c r="AN589" s="28">
        <v>21</v>
      </c>
      <c r="AO589" s="28">
        <f>G589*1</f>
        <v>0</v>
      </c>
      <c r="AP589" s="28">
        <f>G589*(1-1)</f>
        <v>0</v>
      </c>
      <c r="AQ589" s="30" t="s">
        <v>98</v>
      </c>
      <c r="AV589" s="28">
        <f>AW589+AX589</f>
        <v>0</v>
      </c>
      <c r="AW589" s="28">
        <f>F589*AO589</f>
        <v>0</v>
      </c>
      <c r="AX589" s="28">
        <f>F589*AP589</f>
        <v>0</v>
      </c>
      <c r="AY589" s="30" t="s">
        <v>168</v>
      </c>
      <c r="AZ589" s="30" t="s">
        <v>876</v>
      </c>
      <c r="BA589" s="10" t="s">
        <v>242</v>
      </c>
      <c r="BC589" s="28">
        <f>AW589+AX589</f>
        <v>0</v>
      </c>
      <c r="BD589" s="28">
        <f>G589/(100-BE589)*100</f>
        <v>0</v>
      </c>
      <c r="BE589" s="28">
        <v>0</v>
      </c>
      <c r="BF589" s="28">
        <f>589</f>
        <v>589</v>
      </c>
      <c r="BH589" s="28">
        <f>F589*AO589</f>
        <v>0</v>
      </c>
      <c r="BI589" s="28">
        <f>F589*AP589</f>
        <v>0</v>
      </c>
      <c r="BJ589" s="28">
        <f>F589*G589</f>
        <v>0</v>
      </c>
      <c r="BK589" s="28"/>
      <c r="BL589" s="28">
        <v>767</v>
      </c>
      <c r="BW589" s="28">
        <v>21</v>
      </c>
    </row>
    <row r="590" spans="1:75" x14ac:dyDescent="0.25">
      <c r="A590" s="31"/>
      <c r="C590" s="32" t="s">
        <v>1100</v>
      </c>
      <c r="D590" s="32" t="s">
        <v>52</v>
      </c>
      <c r="F590" s="33">
        <v>0.1472</v>
      </c>
      <c r="K590" s="34"/>
    </row>
    <row r="591" spans="1:75" x14ac:dyDescent="0.25">
      <c r="A591" s="31"/>
      <c r="C591" s="32" t="s">
        <v>1101</v>
      </c>
      <c r="D591" s="32" t="s">
        <v>52</v>
      </c>
      <c r="F591" s="33">
        <v>7.3600000000000002E-3</v>
      </c>
      <c r="K591" s="34"/>
    </row>
    <row r="592" spans="1:75" ht="13.5" customHeight="1" x14ac:dyDescent="0.25">
      <c r="A592" s="2" t="s">
        <v>1102</v>
      </c>
      <c r="B592" s="3" t="s">
        <v>1049</v>
      </c>
      <c r="C592" s="83" t="s">
        <v>1103</v>
      </c>
      <c r="D592" s="80"/>
      <c r="E592" s="3" t="s">
        <v>71</v>
      </c>
      <c r="F592" s="28">
        <v>0.49454999999999999</v>
      </c>
      <c r="G592" s="28">
        <v>0</v>
      </c>
      <c r="H592" s="28">
        <f>F592*AO592</f>
        <v>0</v>
      </c>
      <c r="I592" s="28">
        <f>F592*AP592</f>
        <v>0</v>
      </c>
      <c r="J592" s="28">
        <f>F592*G592</f>
        <v>0</v>
      </c>
      <c r="K592" s="29" t="s">
        <v>61</v>
      </c>
      <c r="Z592" s="28">
        <f>IF(AQ592="5",BJ592,0)</f>
        <v>0</v>
      </c>
      <c r="AB592" s="28">
        <f>IF(AQ592="1",BH592,0)</f>
        <v>0</v>
      </c>
      <c r="AC592" s="28">
        <f>IF(AQ592="1",BI592,0)</f>
        <v>0</v>
      </c>
      <c r="AD592" s="28">
        <f>IF(AQ592="7",BH592,0)</f>
        <v>0</v>
      </c>
      <c r="AE592" s="28">
        <f>IF(AQ592="7",BI592,0)</f>
        <v>0</v>
      </c>
      <c r="AF592" s="28">
        <f>IF(AQ592="2",BH592,0)</f>
        <v>0</v>
      </c>
      <c r="AG592" s="28">
        <f>IF(AQ592="2",BI592,0)</f>
        <v>0</v>
      </c>
      <c r="AH592" s="28">
        <f>IF(AQ592="0",BJ592,0)</f>
        <v>0</v>
      </c>
      <c r="AI592" s="10" t="s">
        <v>236</v>
      </c>
      <c r="AJ592" s="28">
        <f>IF(AN592=0,J592,0)</f>
        <v>0</v>
      </c>
      <c r="AK592" s="28">
        <f>IF(AN592=12,J592,0)</f>
        <v>0</v>
      </c>
      <c r="AL592" s="28">
        <f>IF(AN592=21,J592,0)</f>
        <v>0</v>
      </c>
      <c r="AN592" s="28">
        <v>21</v>
      </c>
      <c r="AO592" s="28">
        <f>G592*1</f>
        <v>0</v>
      </c>
      <c r="AP592" s="28">
        <f>G592*(1-1)</f>
        <v>0</v>
      </c>
      <c r="AQ592" s="30" t="s">
        <v>98</v>
      </c>
      <c r="AV592" s="28">
        <f>AW592+AX592</f>
        <v>0</v>
      </c>
      <c r="AW592" s="28">
        <f>F592*AO592</f>
        <v>0</v>
      </c>
      <c r="AX592" s="28">
        <f>F592*AP592</f>
        <v>0</v>
      </c>
      <c r="AY592" s="30" t="s">
        <v>168</v>
      </c>
      <c r="AZ592" s="30" t="s">
        <v>876</v>
      </c>
      <c r="BA592" s="10" t="s">
        <v>242</v>
      </c>
      <c r="BC592" s="28">
        <f>AW592+AX592</f>
        <v>0</v>
      </c>
      <c r="BD592" s="28">
        <f>G592/(100-BE592)*100</f>
        <v>0</v>
      </c>
      <c r="BE592" s="28">
        <v>0</v>
      </c>
      <c r="BF592" s="28">
        <f>592</f>
        <v>592</v>
      </c>
      <c r="BH592" s="28">
        <f>F592*AO592</f>
        <v>0</v>
      </c>
      <c r="BI592" s="28">
        <f>F592*AP592</f>
        <v>0</v>
      </c>
      <c r="BJ592" s="28">
        <f>F592*G592</f>
        <v>0</v>
      </c>
      <c r="BK592" s="28"/>
      <c r="BL592" s="28">
        <v>767</v>
      </c>
      <c r="BW592" s="28">
        <v>21</v>
      </c>
    </row>
    <row r="593" spans="1:75" x14ac:dyDescent="0.25">
      <c r="A593" s="31"/>
      <c r="C593" s="32" t="s">
        <v>1104</v>
      </c>
      <c r="D593" s="32" t="s">
        <v>52</v>
      </c>
      <c r="F593" s="33">
        <v>0.47099999999999997</v>
      </c>
      <c r="K593" s="34"/>
    </row>
    <row r="594" spans="1:75" x14ac:dyDescent="0.25">
      <c r="A594" s="31"/>
      <c r="C594" s="32" t="s">
        <v>1105</v>
      </c>
      <c r="D594" s="32" t="s">
        <v>52</v>
      </c>
      <c r="F594" s="33">
        <v>2.3550000000000001E-2</v>
      </c>
      <c r="K594" s="34"/>
    </row>
    <row r="595" spans="1:75" ht="13.5" customHeight="1" x14ac:dyDescent="0.25">
      <c r="A595" s="2" t="s">
        <v>1106</v>
      </c>
      <c r="B595" s="3" t="s">
        <v>1049</v>
      </c>
      <c r="C595" s="83" t="s">
        <v>1107</v>
      </c>
      <c r="D595" s="80"/>
      <c r="E595" s="3" t="s">
        <v>71</v>
      </c>
      <c r="F595" s="28">
        <v>0.59345999999999999</v>
      </c>
      <c r="G595" s="28">
        <v>0</v>
      </c>
      <c r="H595" s="28">
        <f>F595*AO595</f>
        <v>0</v>
      </c>
      <c r="I595" s="28">
        <f>F595*AP595</f>
        <v>0</v>
      </c>
      <c r="J595" s="28">
        <f>F595*G595</f>
        <v>0</v>
      </c>
      <c r="K595" s="29" t="s">
        <v>61</v>
      </c>
      <c r="Z595" s="28">
        <f>IF(AQ595="5",BJ595,0)</f>
        <v>0</v>
      </c>
      <c r="AB595" s="28">
        <f>IF(AQ595="1",BH595,0)</f>
        <v>0</v>
      </c>
      <c r="AC595" s="28">
        <f>IF(AQ595="1",BI595,0)</f>
        <v>0</v>
      </c>
      <c r="AD595" s="28">
        <f>IF(AQ595="7",BH595,0)</f>
        <v>0</v>
      </c>
      <c r="AE595" s="28">
        <f>IF(AQ595="7",BI595,0)</f>
        <v>0</v>
      </c>
      <c r="AF595" s="28">
        <f>IF(AQ595="2",BH595,0)</f>
        <v>0</v>
      </c>
      <c r="AG595" s="28">
        <f>IF(AQ595="2",BI595,0)</f>
        <v>0</v>
      </c>
      <c r="AH595" s="28">
        <f>IF(AQ595="0",BJ595,0)</f>
        <v>0</v>
      </c>
      <c r="AI595" s="10" t="s">
        <v>236</v>
      </c>
      <c r="AJ595" s="28">
        <f>IF(AN595=0,J595,0)</f>
        <v>0</v>
      </c>
      <c r="AK595" s="28">
        <f>IF(AN595=12,J595,0)</f>
        <v>0</v>
      </c>
      <c r="AL595" s="28">
        <f>IF(AN595=21,J595,0)</f>
        <v>0</v>
      </c>
      <c r="AN595" s="28">
        <v>21</v>
      </c>
      <c r="AO595" s="28">
        <f>G595*1</f>
        <v>0</v>
      </c>
      <c r="AP595" s="28">
        <f>G595*(1-1)</f>
        <v>0</v>
      </c>
      <c r="AQ595" s="30" t="s">
        <v>98</v>
      </c>
      <c r="AV595" s="28">
        <f>AW595+AX595</f>
        <v>0</v>
      </c>
      <c r="AW595" s="28">
        <f>F595*AO595</f>
        <v>0</v>
      </c>
      <c r="AX595" s="28">
        <f>F595*AP595</f>
        <v>0</v>
      </c>
      <c r="AY595" s="30" t="s">
        <v>168</v>
      </c>
      <c r="AZ595" s="30" t="s">
        <v>876</v>
      </c>
      <c r="BA595" s="10" t="s">
        <v>242</v>
      </c>
      <c r="BC595" s="28">
        <f>AW595+AX595</f>
        <v>0</v>
      </c>
      <c r="BD595" s="28">
        <f>G595/(100-BE595)*100</f>
        <v>0</v>
      </c>
      <c r="BE595" s="28">
        <v>0</v>
      </c>
      <c r="BF595" s="28">
        <f>595</f>
        <v>595</v>
      </c>
      <c r="BH595" s="28">
        <f>F595*AO595</f>
        <v>0</v>
      </c>
      <c r="BI595" s="28">
        <f>F595*AP595</f>
        <v>0</v>
      </c>
      <c r="BJ595" s="28">
        <f>F595*G595</f>
        <v>0</v>
      </c>
      <c r="BK595" s="28"/>
      <c r="BL595" s="28">
        <v>767</v>
      </c>
      <c r="BW595" s="28">
        <v>21</v>
      </c>
    </row>
    <row r="596" spans="1:75" x14ac:dyDescent="0.25">
      <c r="A596" s="31"/>
      <c r="C596" s="32" t="s">
        <v>1108</v>
      </c>
      <c r="D596" s="32" t="s">
        <v>52</v>
      </c>
      <c r="F596" s="33">
        <v>0.56520000000000004</v>
      </c>
      <c r="K596" s="34"/>
    </row>
    <row r="597" spans="1:75" x14ac:dyDescent="0.25">
      <c r="A597" s="31"/>
      <c r="C597" s="32" t="s">
        <v>1109</v>
      </c>
      <c r="D597" s="32" t="s">
        <v>52</v>
      </c>
      <c r="F597" s="33">
        <v>2.826E-2</v>
      </c>
      <c r="K597" s="34"/>
    </row>
    <row r="598" spans="1:75" ht="13.5" customHeight="1" x14ac:dyDescent="0.25">
      <c r="A598" s="2" t="s">
        <v>1110</v>
      </c>
      <c r="B598" s="3" t="s">
        <v>1049</v>
      </c>
      <c r="C598" s="83" t="s">
        <v>1111</v>
      </c>
      <c r="D598" s="80"/>
      <c r="E598" s="3" t="s">
        <v>71</v>
      </c>
      <c r="F598" s="28">
        <v>7.5289999999999996E-2</v>
      </c>
      <c r="G598" s="28">
        <v>0</v>
      </c>
      <c r="H598" s="28">
        <f>F598*AO598</f>
        <v>0</v>
      </c>
      <c r="I598" s="28">
        <f>F598*AP598</f>
        <v>0</v>
      </c>
      <c r="J598" s="28">
        <f>F598*G598</f>
        <v>0</v>
      </c>
      <c r="K598" s="29" t="s">
        <v>61</v>
      </c>
      <c r="Z598" s="28">
        <f>IF(AQ598="5",BJ598,0)</f>
        <v>0</v>
      </c>
      <c r="AB598" s="28">
        <f>IF(AQ598="1",BH598,0)</f>
        <v>0</v>
      </c>
      <c r="AC598" s="28">
        <f>IF(AQ598="1",BI598,0)</f>
        <v>0</v>
      </c>
      <c r="AD598" s="28">
        <f>IF(AQ598="7",BH598,0)</f>
        <v>0</v>
      </c>
      <c r="AE598" s="28">
        <f>IF(AQ598="7",BI598,0)</f>
        <v>0</v>
      </c>
      <c r="AF598" s="28">
        <f>IF(AQ598="2",BH598,0)</f>
        <v>0</v>
      </c>
      <c r="AG598" s="28">
        <f>IF(AQ598="2",BI598,0)</f>
        <v>0</v>
      </c>
      <c r="AH598" s="28">
        <f>IF(AQ598="0",BJ598,0)</f>
        <v>0</v>
      </c>
      <c r="AI598" s="10" t="s">
        <v>236</v>
      </c>
      <c r="AJ598" s="28">
        <f>IF(AN598=0,J598,0)</f>
        <v>0</v>
      </c>
      <c r="AK598" s="28">
        <f>IF(AN598=12,J598,0)</f>
        <v>0</v>
      </c>
      <c r="AL598" s="28">
        <f>IF(AN598=21,J598,0)</f>
        <v>0</v>
      </c>
      <c r="AN598" s="28">
        <v>21</v>
      </c>
      <c r="AO598" s="28">
        <f>G598*1</f>
        <v>0</v>
      </c>
      <c r="AP598" s="28">
        <f>G598*(1-1)</f>
        <v>0</v>
      </c>
      <c r="AQ598" s="30" t="s">
        <v>98</v>
      </c>
      <c r="AV598" s="28">
        <f>AW598+AX598</f>
        <v>0</v>
      </c>
      <c r="AW598" s="28">
        <f>F598*AO598</f>
        <v>0</v>
      </c>
      <c r="AX598" s="28">
        <f>F598*AP598</f>
        <v>0</v>
      </c>
      <c r="AY598" s="30" t="s">
        <v>168</v>
      </c>
      <c r="AZ598" s="30" t="s">
        <v>876</v>
      </c>
      <c r="BA598" s="10" t="s">
        <v>242</v>
      </c>
      <c r="BC598" s="28">
        <f>AW598+AX598</f>
        <v>0</v>
      </c>
      <c r="BD598" s="28">
        <f>G598/(100-BE598)*100</f>
        <v>0</v>
      </c>
      <c r="BE598" s="28">
        <v>0</v>
      </c>
      <c r="BF598" s="28">
        <f>598</f>
        <v>598</v>
      </c>
      <c r="BH598" s="28">
        <f>F598*AO598</f>
        <v>0</v>
      </c>
      <c r="BI598" s="28">
        <f>F598*AP598</f>
        <v>0</v>
      </c>
      <c r="BJ598" s="28">
        <f>F598*G598</f>
        <v>0</v>
      </c>
      <c r="BK598" s="28"/>
      <c r="BL598" s="28">
        <v>767</v>
      </c>
      <c r="BW598" s="28">
        <v>21</v>
      </c>
    </row>
    <row r="599" spans="1:75" x14ac:dyDescent="0.25">
      <c r="A599" s="31"/>
      <c r="C599" s="32" t="s">
        <v>1112</v>
      </c>
      <c r="D599" s="32" t="s">
        <v>52</v>
      </c>
      <c r="F599" s="33">
        <v>7.17E-2</v>
      </c>
      <c r="K599" s="34"/>
    </row>
    <row r="600" spans="1:75" x14ac:dyDescent="0.25">
      <c r="A600" s="31"/>
      <c r="C600" s="32" t="s">
        <v>1113</v>
      </c>
      <c r="D600" s="32" t="s">
        <v>52</v>
      </c>
      <c r="F600" s="33">
        <v>3.5899999999999999E-3</v>
      </c>
      <c r="K600" s="34"/>
    </row>
    <row r="601" spans="1:75" ht="13.5" customHeight="1" x14ac:dyDescent="0.25">
      <c r="A601" s="2" t="s">
        <v>1114</v>
      </c>
      <c r="B601" s="3" t="s">
        <v>1049</v>
      </c>
      <c r="C601" s="83" t="s">
        <v>1115</v>
      </c>
      <c r="D601" s="80"/>
      <c r="E601" s="3" t="s">
        <v>71</v>
      </c>
      <c r="F601" s="28">
        <v>0.30292999999999998</v>
      </c>
      <c r="G601" s="28">
        <v>0</v>
      </c>
      <c r="H601" s="28">
        <f>F601*AO601</f>
        <v>0</v>
      </c>
      <c r="I601" s="28">
        <f>F601*AP601</f>
        <v>0</v>
      </c>
      <c r="J601" s="28">
        <f>F601*G601</f>
        <v>0</v>
      </c>
      <c r="K601" s="29" t="s">
        <v>61</v>
      </c>
      <c r="Z601" s="28">
        <f>IF(AQ601="5",BJ601,0)</f>
        <v>0</v>
      </c>
      <c r="AB601" s="28">
        <f>IF(AQ601="1",BH601,0)</f>
        <v>0</v>
      </c>
      <c r="AC601" s="28">
        <f>IF(AQ601="1",BI601,0)</f>
        <v>0</v>
      </c>
      <c r="AD601" s="28">
        <f>IF(AQ601="7",BH601,0)</f>
        <v>0</v>
      </c>
      <c r="AE601" s="28">
        <f>IF(AQ601="7",BI601,0)</f>
        <v>0</v>
      </c>
      <c r="AF601" s="28">
        <f>IF(AQ601="2",BH601,0)</f>
        <v>0</v>
      </c>
      <c r="AG601" s="28">
        <f>IF(AQ601="2",BI601,0)</f>
        <v>0</v>
      </c>
      <c r="AH601" s="28">
        <f>IF(AQ601="0",BJ601,0)</f>
        <v>0</v>
      </c>
      <c r="AI601" s="10" t="s">
        <v>236</v>
      </c>
      <c r="AJ601" s="28">
        <f>IF(AN601=0,J601,0)</f>
        <v>0</v>
      </c>
      <c r="AK601" s="28">
        <f>IF(AN601=12,J601,0)</f>
        <v>0</v>
      </c>
      <c r="AL601" s="28">
        <f>IF(AN601=21,J601,0)</f>
        <v>0</v>
      </c>
      <c r="AN601" s="28">
        <v>21</v>
      </c>
      <c r="AO601" s="28">
        <f>G601*1</f>
        <v>0</v>
      </c>
      <c r="AP601" s="28">
        <f>G601*(1-1)</f>
        <v>0</v>
      </c>
      <c r="AQ601" s="30" t="s">
        <v>98</v>
      </c>
      <c r="AV601" s="28">
        <f>AW601+AX601</f>
        <v>0</v>
      </c>
      <c r="AW601" s="28">
        <f>F601*AO601</f>
        <v>0</v>
      </c>
      <c r="AX601" s="28">
        <f>F601*AP601</f>
        <v>0</v>
      </c>
      <c r="AY601" s="30" t="s">
        <v>168</v>
      </c>
      <c r="AZ601" s="30" t="s">
        <v>876</v>
      </c>
      <c r="BA601" s="10" t="s">
        <v>242</v>
      </c>
      <c r="BC601" s="28">
        <f>AW601+AX601</f>
        <v>0</v>
      </c>
      <c r="BD601" s="28">
        <f>G601/(100-BE601)*100</f>
        <v>0</v>
      </c>
      <c r="BE601" s="28">
        <v>0</v>
      </c>
      <c r="BF601" s="28">
        <f>601</f>
        <v>601</v>
      </c>
      <c r="BH601" s="28">
        <f>F601*AO601</f>
        <v>0</v>
      </c>
      <c r="BI601" s="28">
        <f>F601*AP601</f>
        <v>0</v>
      </c>
      <c r="BJ601" s="28">
        <f>F601*G601</f>
        <v>0</v>
      </c>
      <c r="BK601" s="28"/>
      <c r="BL601" s="28">
        <v>767</v>
      </c>
      <c r="BW601" s="28">
        <v>21</v>
      </c>
    </row>
    <row r="602" spans="1:75" x14ac:dyDescent="0.25">
      <c r="A602" s="31"/>
      <c r="C602" s="32" t="s">
        <v>1116</v>
      </c>
      <c r="D602" s="32" t="s">
        <v>52</v>
      </c>
      <c r="F602" s="33">
        <v>0.28849999999999998</v>
      </c>
      <c r="K602" s="34"/>
    </row>
    <row r="603" spans="1:75" x14ac:dyDescent="0.25">
      <c r="A603" s="31"/>
      <c r="C603" s="32" t="s">
        <v>1117</v>
      </c>
      <c r="D603" s="32" t="s">
        <v>52</v>
      </c>
      <c r="F603" s="33">
        <v>1.443E-2</v>
      </c>
      <c r="K603" s="34"/>
    </row>
    <row r="604" spans="1:75" ht="13.5" customHeight="1" x14ac:dyDescent="0.25">
      <c r="A604" s="2" t="s">
        <v>1118</v>
      </c>
      <c r="B604" s="3" t="s">
        <v>1119</v>
      </c>
      <c r="C604" s="83" t="s">
        <v>1120</v>
      </c>
      <c r="D604" s="80"/>
      <c r="E604" s="3" t="s">
        <v>975</v>
      </c>
      <c r="F604" s="28">
        <v>50.2</v>
      </c>
      <c r="G604" s="28">
        <v>0</v>
      </c>
      <c r="H604" s="28">
        <f>F604*AO604</f>
        <v>0</v>
      </c>
      <c r="I604" s="28">
        <f>F604*AP604</f>
        <v>0</v>
      </c>
      <c r="J604" s="28">
        <f>F604*G604</f>
        <v>0</v>
      </c>
      <c r="K604" s="29" t="s">
        <v>61</v>
      </c>
      <c r="Z604" s="28">
        <f>IF(AQ604="5",BJ604,0)</f>
        <v>0</v>
      </c>
      <c r="AB604" s="28">
        <f>IF(AQ604="1",BH604,0)</f>
        <v>0</v>
      </c>
      <c r="AC604" s="28">
        <f>IF(AQ604="1",BI604,0)</f>
        <v>0</v>
      </c>
      <c r="AD604" s="28">
        <f>IF(AQ604="7",BH604,0)</f>
        <v>0</v>
      </c>
      <c r="AE604" s="28">
        <f>IF(AQ604="7",BI604,0)</f>
        <v>0</v>
      </c>
      <c r="AF604" s="28">
        <f>IF(AQ604="2",BH604,0)</f>
        <v>0</v>
      </c>
      <c r="AG604" s="28">
        <f>IF(AQ604="2",BI604,0)</f>
        <v>0</v>
      </c>
      <c r="AH604" s="28">
        <f>IF(AQ604="0",BJ604,0)</f>
        <v>0</v>
      </c>
      <c r="AI604" s="10" t="s">
        <v>236</v>
      </c>
      <c r="AJ604" s="28">
        <f>IF(AN604=0,J604,0)</f>
        <v>0</v>
      </c>
      <c r="AK604" s="28">
        <f>IF(AN604=12,J604,0)</f>
        <v>0</v>
      </c>
      <c r="AL604" s="28">
        <f>IF(AN604=21,J604,0)</f>
        <v>0</v>
      </c>
      <c r="AN604" s="28">
        <v>21</v>
      </c>
      <c r="AO604" s="28">
        <f>G604*0.091253482</f>
        <v>0</v>
      </c>
      <c r="AP604" s="28">
        <f>G604*(1-0.091253482)</f>
        <v>0</v>
      </c>
      <c r="AQ604" s="30" t="s">
        <v>98</v>
      </c>
      <c r="AV604" s="28">
        <f>AW604+AX604</f>
        <v>0</v>
      </c>
      <c r="AW604" s="28">
        <f>F604*AO604</f>
        <v>0</v>
      </c>
      <c r="AX604" s="28">
        <f>F604*AP604</f>
        <v>0</v>
      </c>
      <c r="AY604" s="30" t="s">
        <v>168</v>
      </c>
      <c r="AZ604" s="30" t="s">
        <v>876</v>
      </c>
      <c r="BA604" s="10" t="s">
        <v>242</v>
      </c>
      <c r="BC604" s="28">
        <f>AW604+AX604</f>
        <v>0</v>
      </c>
      <c r="BD604" s="28">
        <f>G604/(100-BE604)*100</f>
        <v>0</v>
      </c>
      <c r="BE604" s="28">
        <v>0</v>
      </c>
      <c r="BF604" s="28">
        <f>604</f>
        <v>604</v>
      </c>
      <c r="BH604" s="28">
        <f>F604*AO604</f>
        <v>0</v>
      </c>
      <c r="BI604" s="28">
        <f>F604*AP604</f>
        <v>0</v>
      </c>
      <c r="BJ604" s="28">
        <f>F604*G604</f>
        <v>0</v>
      </c>
      <c r="BK604" s="28"/>
      <c r="BL604" s="28">
        <v>767</v>
      </c>
      <c r="BW604" s="28">
        <v>21</v>
      </c>
    </row>
    <row r="605" spans="1:75" ht="13.5" customHeight="1" x14ac:dyDescent="0.25">
      <c r="A605" s="2" t="s">
        <v>1121</v>
      </c>
      <c r="B605" s="3" t="s">
        <v>1122</v>
      </c>
      <c r="C605" s="83" t="s">
        <v>1123</v>
      </c>
      <c r="D605" s="80"/>
      <c r="E605" s="3" t="s">
        <v>71</v>
      </c>
      <c r="F605" s="28">
        <v>5.1200000000000002E-2</v>
      </c>
      <c r="G605" s="28">
        <v>0</v>
      </c>
      <c r="H605" s="28">
        <f>F605*AO605</f>
        <v>0</v>
      </c>
      <c r="I605" s="28">
        <f>F605*AP605</f>
        <v>0</v>
      </c>
      <c r="J605" s="28">
        <f>F605*G605</f>
        <v>0</v>
      </c>
      <c r="K605" s="29" t="s">
        <v>61</v>
      </c>
      <c r="Z605" s="28">
        <f>IF(AQ605="5",BJ605,0)</f>
        <v>0</v>
      </c>
      <c r="AB605" s="28">
        <f>IF(AQ605="1",BH605,0)</f>
        <v>0</v>
      </c>
      <c r="AC605" s="28">
        <f>IF(AQ605="1",BI605,0)</f>
        <v>0</v>
      </c>
      <c r="AD605" s="28">
        <f>IF(AQ605="7",BH605,0)</f>
        <v>0</v>
      </c>
      <c r="AE605" s="28">
        <f>IF(AQ605="7",BI605,0)</f>
        <v>0</v>
      </c>
      <c r="AF605" s="28">
        <f>IF(AQ605="2",BH605,0)</f>
        <v>0</v>
      </c>
      <c r="AG605" s="28">
        <f>IF(AQ605="2",BI605,0)</f>
        <v>0</v>
      </c>
      <c r="AH605" s="28">
        <f>IF(AQ605="0",BJ605,0)</f>
        <v>0</v>
      </c>
      <c r="AI605" s="10" t="s">
        <v>236</v>
      </c>
      <c r="AJ605" s="28">
        <f>IF(AN605=0,J605,0)</f>
        <v>0</v>
      </c>
      <c r="AK605" s="28">
        <f>IF(AN605=12,J605,0)</f>
        <v>0</v>
      </c>
      <c r="AL605" s="28">
        <f>IF(AN605=21,J605,0)</f>
        <v>0</v>
      </c>
      <c r="AN605" s="28">
        <v>21</v>
      </c>
      <c r="AO605" s="28">
        <f>G605*1</f>
        <v>0</v>
      </c>
      <c r="AP605" s="28">
        <f>G605*(1-1)</f>
        <v>0</v>
      </c>
      <c r="AQ605" s="30" t="s">
        <v>98</v>
      </c>
      <c r="AV605" s="28">
        <f>AW605+AX605</f>
        <v>0</v>
      </c>
      <c r="AW605" s="28">
        <f>F605*AO605</f>
        <v>0</v>
      </c>
      <c r="AX605" s="28">
        <f>F605*AP605</f>
        <v>0</v>
      </c>
      <c r="AY605" s="30" t="s">
        <v>168</v>
      </c>
      <c r="AZ605" s="30" t="s">
        <v>876</v>
      </c>
      <c r="BA605" s="10" t="s">
        <v>242</v>
      </c>
      <c r="BC605" s="28">
        <f>AW605+AX605</f>
        <v>0</v>
      </c>
      <c r="BD605" s="28">
        <f>G605/(100-BE605)*100</f>
        <v>0</v>
      </c>
      <c r="BE605" s="28">
        <v>0</v>
      </c>
      <c r="BF605" s="28">
        <f>605</f>
        <v>605</v>
      </c>
      <c r="BH605" s="28">
        <f>F605*AO605</f>
        <v>0</v>
      </c>
      <c r="BI605" s="28">
        <f>F605*AP605</f>
        <v>0</v>
      </c>
      <c r="BJ605" s="28">
        <f>F605*G605</f>
        <v>0</v>
      </c>
      <c r="BK605" s="28"/>
      <c r="BL605" s="28">
        <v>767</v>
      </c>
      <c r="BW605" s="28">
        <v>21</v>
      </c>
    </row>
    <row r="606" spans="1:75" x14ac:dyDescent="0.25">
      <c r="A606" s="31"/>
      <c r="C606" s="32" t="s">
        <v>1124</v>
      </c>
      <c r="D606" s="32" t="s">
        <v>52</v>
      </c>
      <c r="F606" s="33">
        <v>5.0200000000000002E-2</v>
      </c>
      <c r="K606" s="34"/>
    </row>
    <row r="607" spans="1:75" x14ac:dyDescent="0.25">
      <c r="A607" s="31"/>
      <c r="C607" s="32" t="s">
        <v>1125</v>
      </c>
      <c r="D607" s="32" t="s">
        <v>52</v>
      </c>
      <c r="F607" s="33">
        <v>1E-3</v>
      </c>
      <c r="K607" s="34"/>
    </row>
    <row r="608" spans="1:75" ht="13.5" customHeight="1" x14ac:dyDescent="0.25">
      <c r="A608" s="2" t="s">
        <v>1126</v>
      </c>
      <c r="B608" s="3" t="s">
        <v>1127</v>
      </c>
      <c r="C608" s="83" t="s">
        <v>1128</v>
      </c>
      <c r="D608" s="80"/>
      <c r="E608" s="3" t="s">
        <v>148</v>
      </c>
      <c r="F608" s="28">
        <v>4.9000000000000004</v>
      </c>
      <c r="G608" s="28">
        <v>0</v>
      </c>
      <c r="H608" s="28">
        <f>F608*AO608</f>
        <v>0</v>
      </c>
      <c r="I608" s="28">
        <f>F608*AP608</f>
        <v>0</v>
      </c>
      <c r="J608" s="28">
        <f>F608*G608</f>
        <v>0</v>
      </c>
      <c r="K608" s="29" t="s">
        <v>61</v>
      </c>
      <c r="Z608" s="28">
        <f>IF(AQ608="5",BJ608,0)</f>
        <v>0</v>
      </c>
      <c r="AB608" s="28">
        <f>IF(AQ608="1",BH608,0)</f>
        <v>0</v>
      </c>
      <c r="AC608" s="28">
        <f>IF(AQ608="1",BI608,0)</f>
        <v>0</v>
      </c>
      <c r="AD608" s="28">
        <f>IF(AQ608="7",BH608,0)</f>
        <v>0</v>
      </c>
      <c r="AE608" s="28">
        <f>IF(AQ608="7",BI608,0)</f>
        <v>0</v>
      </c>
      <c r="AF608" s="28">
        <f>IF(AQ608="2",BH608,0)</f>
        <v>0</v>
      </c>
      <c r="AG608" s="28">
        <f>IF(AQ608="2",BI608,0)</f>
        <v>0</v>
      </c>
      <c r="AH608" s="28">
        <f>IF(AQ608="0",BJ608,0)</f>
        <v>0</v>
      </c>
      <c r="AI608" s="10" t="s">
        <v>236</v>
      </c>
      <c r="AJ608" s="28">
        <f>IF(AN608=0,J608,0)</f>
        <v>0</v>
      </c>
      <c r="AK608" s="28">
        <f>IF(AN608=12,J608,0)</f>
        <v>0</v>
      </c>
      <c r="AL608" s="28">
        <f>IF(AN608=21,J608,0)</f>
        <v>0</v>
      </c>
      <c r="AN608" s="28">
        <v>21</v>
      </c>
      <c r="AO608" s="28">
        <f>G608*0.016618095</f>
        <v>0</v>
      </c>
      <c r="AP608" s="28">
        <f>G608*(1-0.016618095)</f>
        <v>0</v>
      </c>
      <c r="AQ608" s="30" t="s">
        <v>98</v>
      </c>
      <c r="AV608" s="28">
        <f>AW608+AX608</f>
        <v>0</v>
      </c>
      <c r="AW608" s="28">
        <f>F608*AO608</f>
        <v>0</v>
      </c>
      <c r="AX608" s="28">
        <f>F608*AP608</f>
        <v>0</v>
      </c>
      <c r="AY608" s="30" t="s">
        <v>168</v>
      </c>
      <c r="AZ608" s="30" t="s">
        <v>876</v>
      </c>
      <c r="BA608" s="10" t="s">
        <v>242</v>
      </c>
      <c r="BC608" s="28">
        <f>AW608+AX608</f>
        <v>0</v>
      </c>
      <c r="BD608" s="28">
        <f>G608/(100-BE608)*100</f>
        <v>0</v>
      </c>
      <c r="BE608" s="28">
        <v>0</v>
      </c>
      <c r="BF608" s="28">
        <f>608</f>
        <v>608</v>
      </c>
      <c r="BH608" s="28">
        <f>F608*AO608</f>
        <v>0</v>
      </c>
      <c r="BI608" s="28">
        <f>F608*AP608</f>
        <v>0</v>
      </c>
      <c r="BJ608" s="28">
        <f>F608*G608</f>
        <v>0</v>
      </c>
      <c r="BK608" s="28"/>
      <c r="BL608" s="28">
        <v>767</v>
      </c>
      <c r="BW608" s="28">
        <v>21</v>
      </c>
    </row>
    <row r="609" spans="1:75" x14ac:dyDescent="0.25">
      <c r="A609" s="31"/>
      <c r="C609" s="32" t="s">
        <v>1129</v>
      </c>
      <c r="D609" s="32" t="s">
        <v>52</v>
      </c>
      <c r="F609" s="33">
        <v>4.9000000000000004</v>
      </c>
      <c r="K609" s="34"/>
    </row>
    <row r="610" spans="1:75" ht="13.5" customHeight="1" x14ac:dyDescent="0.25">
      <c r="A610" s="2" t="s">
        <v>1130</v>
      </c>
      <c r="B610" s="3" t="s">
        <v>1131</v>
      </c>
      <c r="C610" s="83" t="s">
        <v>1132</v>
      </c>
      <c r="D610" s="80"/>
      <c r="E610" s="3" t="s">
        <v>148</v>
      </c>
      <c r="F610" s="28">
        <v>5.1449999999999996</v>
      </c>
      <c r="G610" s="28">
        <v>0</v>
      </c>
      <c r="H610" s="28">
        <f>F610*AO610</f>
        <v>0</v>
      </c>
      <c r="I610" s="28">
        <f>F610*AP610</f>
        <v>0</v>
      </c>
      <c r="J610" s="28">
        <f>F610*G610</f>
        <v>0</v>
      </c>
      <c r="K610" s="29" t="s">
        <v>61</v>
      </c>
      <c r="Z610" s="28">
        <f>IF(AQ610="5",BJ610,0)</f>
        <v>0</v>
      </c>
      <c r="AB610" s="28">
        <f>IF(AQ610="1",BH610,0)</f>
        <v>0</v>
      </c>
      <c r="AC610" s="28">
        <f>IF(AQ610="1",BI610,0)</f>
        <v>0</v>
      </c>
      <c r="AD610" s="28">
        <f>IF(AQ610="7",BH610,0)</f>
        <v>0</v>
      </c>
      <c r="AE610" s="28">
        <f>IF(AQ610="7",BI610,0)</f>
        <v>0</v>
      </c>
      <c r="AF610" s="28">
        <f>IF(AQ610="2",BH610,0)</f>
        <v>0</v>
      </c>
      <c r="AG610" s="28">
        <f>IF(AQ610="2",BI610,0)</f>
        <v>0</v>
      </c>
      <c r="AH610" s="28">
        <f>IF(AQ610="0",BJ610,0)</f>
        <v>0</v>
      </c>
      <c r="AI610" s="10" t="s">
        <v>236</v>
      </c>
      <c r="AJ610" s="28">
        <f>IF(AN610=0,J610,0)</f>
        <v>0</v>
      </c>
      <c r="AK610" s="28">
        <f>IF(AN610=12,J610,0)</f>
        <v>0</v>
      </c>
      <c r="AL610" s="28">
        <f>IF(AN610=21,J610,0)</f>
        <v>0</v>
      </c>
      <c r="AN610" s="28">
        <v>21</v>
      </c>
      <c r="AO610" s="28">
        <f>G610*1</f>
        <v>0</v>
      </c>
      <c r="AP610" s="28">
        <f>G610*(1-1)</f>
        <v>0</v>
      </c>
      <c r="AQ610" s="30" t="s">
        <v>98</v>
      </c>
      <c r="AV610" s="28">
        <f>AW610+AX610</f>
        <v>0</v>
      </c>
      <c r="AW610" s="28">
        <f>F610*AO610</f>
        <v>0</v>
      </c>
      <c r="AX610" s="28">
        <f>F610*AP610</f>
        <v>0</v>
      </c>
      <c r="AY610" s="30" t="s">
        <v>168</v>
      </c>
      <c r="AZ610" s="30" t="s">
        <v>876</v>
      </c>
      <c r="BA610" s="10" t="s">
        <v>242</v>
      </c>
      <c r="BC610" s="28">
        <f>AW610+AX610</f>
        <v>0</v>
      </c>
      <c r="BD610" s="28">
        <f>G610/(100-BE610)*100</f>
        <v>0</v>
      </c>
      <c r="BE610" s="28">
        <v>0</v>
      </c>
      <c r="BF610" s="28">
        <f>610</f>
        <v>610</v>
      </c>
      <c r="BH610" s="28">
        <f>F610*AO610</f>
        <v>0</v>
      </c>
      <c r="BI610" s="28">
        <f>F610*AP610</f>
        <v>0</v>
      </c>
      <c r="BJ610" s="28">
        <f>F610*G610</f>
        <v>0</v>
      </c>
      <c r="BK610" s="28"/>
      <c r="BL610" s="28">
        <v>767</v>
      </c>
      <c r="BW610" s="28">
        <v>21</v>
      </c>
    </row>
    <row r="611" spans="1:75" x14ac:dyDescent="0.25">
      <c r="A611" s="31"/>
      <c r="C611" s="32" t="s">
        <v>1129</v>
      </c>
      <c r="D611" s="32" t="s">
        <v>52</v>
      </c>
      <c r="F611" s="33">
        <v>4.9000000000000004</v>
      </c>
      <c r="K611" s="34"/>
    </row>
    <row r="612" spans="1:75" x14ac:dyDescent="0.25">
      <c r="A612" s="31"/>
      <c r="C612" s="32" t="s">
        <v>1133</v>
      </c>
      <c r="D612" s="32" t="s">
        <v>52</v>
      </c>
      <c r="F612" s="33">
        <v>0.245</v>
      </c>
      <c r="K612" s="34"/>
    </row>
    <row r="613" spans="1:75" ht="27" customHeight="1" x14ac:dyDescent="0.25">
      <c r="A613" s="2" t="s">
        <v>1134</v>
      </c>
      <c r="B613" s="3" t="s">
        <v>1135</v>
      </c>
      <c r="C613" s="83" t="s">
        <v>1136</v>
      </c>
      <c r="D613" s="80"/>
      <c r="E613" s="3" t="s">
        <v>137</v>
      </c>
      <c r="F613" s="28">
        <v>16</v>
      </c>
      <c r="G613" s="28">
        <v>0</v>
      </c>
      <c r="H613" s="28">
        <f>F613*AO613</f>
        <v>0</v>
      </c>
      <c r="I613" s="28">
        <f>F613*AP613</f>
        <v>0</v>
      </c>
      <c r="J613" s="28">
        <f>F613*G613</f>
        <v>0</v>
      </c>
      <c r="K613" s="29" t="s">
        <v>52</v>
      </c>
      <c r="Z613" s="28">
        <f>IF(AQ613="5",BJ613,0)</f>
        <v>0</v>
      </c>
      <c r="AB613" s="28">
        <f>IF(AQ613="1",BH613,0)</f>
        <v>0</v>
      </c>
      <c r="AC613" s="28">
        <f>IF(AQ613="1",BI613,0)</f>
        <v>0</v>
      </c>
      <c r="AD613" s="28">
        <f>IF(AQ613="7",BH613,0)</f>
        <v>0</v>
      </c>
      <c r="AE613" s="28">
        <f>IF(AQ613="7",BI613,0)</f>
        <v>0</v>
      </c>
      <c r="AF613" s="28">
        <f>IF(AQ613="2",BH613,0)</f>
        <v>0</v>
      </c>
      <c r="AG613" s="28">
        <f>IF(AQ613="2",BI613,0)</f>
        <v>0</v>
      </c>
      <c r="AH613" s="28">
        <f>IF(AQ613="0",BJ613,0)</f>
        <v>0</v>
      </c>
      <c r="AI613" s="10" t="s">
        <v>236</v>
      </c>
      <c r="AJ613" s="28">
        <f>IF(AN613=0,J613,0)</f>
        <v>0</v>
      </c>
      <c r="AK613" s="28">
        <f>IF(AN613=12,J613,0)</f>
        <v>0</v>
      </c>
      <c r="AL613" s="28">
        <f>IF(AN613=21,J613,0)</f>
        <v>0</v>
      </c>
      <c r="AN613" s="28">
        <v>21</v>
      </c>
      <c r="AO613" s="28">
        <f>G613*0.8125</f>
        <v>0</v>
      </c>
      <c r="AP613" s="28">
        <f>G613*(1-0.8125)</f>
        <v>0</v>
      </c>
      <c r="AQ613" s="30" t="s">
        <v>98</v>
      </c>
      <c r="AV613" s="28">
        <f>AW613+AX613</f>
        <v>0</v>
      </c>
      <c r="AW613" s="28">
        <f>F613*AO613</f>
        <v>0</v>
      </c>
      <c r="AX613" s="28">
        <f>F613*AP613</f>
        <v>0</v>
      </c>
      <c r="AY613" s="30" t="s">
        <v>168</v>
      </c>
      <c r="AZ613" s="30" t="s">
        <v>876</v>
      </c>
      <c r="BA613" s="10" t="s">
        <v>242</v>
      </c>
      <c r="BC613" s="28">
        <f>AW613+AX613</f>
        <v>0</v>
      </c>
      <c r="BD613" s="28">
        <f>G613/(100-BE613)*100</f>
        <v>0</v>
      </c>
      <c r="BE613" s="28">
        <v>0</v>
      </c>
      <c r="BF613" s="28">
        <f>613</f>
        <v>613</v>
      </c>
      <c r="BH613" s="28">
        <f>F613*AO613</f>
        <v>0</v>
      </c>
      <c r="BI613" s="28">
        <f>F613*AP613</f>
        <v>0</v>
      </c>
      <c r="BJ613" s="28">
        <f>F613*G613</f>
        <v>0</v>
      </c>
      <c r="BK613" s="28"/>
      <c r="BL613" s="28">
        <v>767</v>
      </c>
      <c r="BW613" s="28">
        <v>21</v>
      </c>
    </row>
    <row r="614" spans="1:75" x14ac:dyDescent="0.25">
      <c r="A614" s="31"/>
      <c r="C614" s="32" t="s">
        <v>145</v>
      </c>
      <c r="D614" s="32" t="s">
        <v>52</v>
      </c>
      <c r="F614" s="33">
        <v>16</v>
      </c>
      <c r="K614" s="34"/>
    </row>
    <row r="615" spans="1:75" ht="13.5" customHeight="1" x14ac:dyDescent="0.25">
      <c r="A615" s="2" t="s">
        <v>1137</v>
      </c>
      <c r="B615" s="3" t="s">
        <v>1138</v>
      </c>
      <c r="C615" s="83" t="s">
        <v>1139</v>
      </c>
      <c r="D615" s="80"/>
      <c r="E615" s="3" t="s">
        <v>137</v>
      </c>
      <c r="F615" s="28">
        <v>7</v>
      </c>
      <c r="G615" s="28">
        <v>0</v>
      </c>
      <c r="H615" s="28">
        <f>F615*AO615</f>
        <v>0</v>
      </c>
      <c r="I615" s="28">
        <f>F615*AP615</f>
        <v>0</v>
      </c>
      <c r="J615" s="28">
        <f>F615*G615</f>
        <v>0</v>
      </c>
      <c r="K615" s="29" t="s">
        <v>52</v>
      </c>
      <c r="Z615" s="28">
        <f>IF(AQ615="5",BJ615,0)</f>
        <v>0</v>
      </c>
      <c r="AB615" s="28">
        <f>IF(AQ615="1",BH615,0)</f>
        <v>0</v>
      </c>
      <c r="AC615" s="28">
        <f>IF(AQ615="1",BI615,0)</f>
        <v>0</v>
      </c>
      <c r="AD615" s="28">
        <f>IF(AQ615="7",BH615,0)</f>
        <v>0</v>
      </c>
      <c r="AE615" s="28">
        <f>IF(AQ615="7",BI615,0)</f>
        <v>0</v>
      </c>
      <c r="AF615" s="28">
        <f>IF(AQ615="2",BH615,0)</f>
        <v>0</v>
      </c>
      <c r="AG615" s="28">
        <f>IF(AQ615="2",BI615,0)</f>
        <v>0</v>
      </c>
      <c r="AH615" s="28">
        <f>IF(AQ615="0",BJ615,0)</f>
        <v>0</v>
      </c>
      <c r="AI615" s="10" t="s">
        <v>236</v>
      </c>
      <c r="AJ615" s="28">
        <f>IF(AN615=0,J615,0)</f>
        <v>0</v>
      </c>
      <c r="AK615" s="28">
        <f>IF(AN615=12,J615,0)</f>
        <v>0</v>
      </c>
      <c r="AL615" s="28">
        <f>IF(AN615=21,J615,0)</f>
        <v>0</v>
      </c>
      <c r="AN615" s="28">
        <v>21</v>
      </c>
      <c r="AO615" s="28">
        <f>G615*0.893939394</f>
        <v>0</v>
      </c>
      <c r="AP615" s="28">
        <f>G615*(1-0.893939394)</f>
        <v>0</v>
      </c>
      <c r="AQ615" s="30" t="s">
        <v>98</v>
      </c>
      <c r="AV615" s="28">
        <f>AW615+AX615</f>
        <v>0</v>
      </c>
      <c r="AW615" s="28">
        <f>F615*AO615</f>
        <v>0</v>
      </c>
      <c r="AX615" s="28">
        <f>F615*AP615</f>
        <v>0</v>
      </c>
      <c r="AY615" s="30" t="s">
        <v>168</v>
      </c>
      <c r="AZ615" s="30" t="s">
        <v>876</v>
      </c>
      <c r="BA615" s="10" t="s">
        <v>242</v>
      </c>
      <c r="BC615" s="28">
        <f>AW615+AX615</f>
        <v>0</v>
      </c>
      <c r="BD615" s="28">
        <f>G615/(100-BE615)*100</f>
        <v>0</v>
      </c>
      <c r="BE615" s="28">
        <v>0</v>
      </c>
      <c r="BF615" s="28">
        <f>615</f>
        <v>615</v>
      </c>
      <c r="BH615" s="28">
        <f>F615*AO615</f>
        <v>0</v>
      </c>
      <c r="BI615" s="28">
        <f>F615*AP615</f>
        <v>0</v>
      </c>
      <c r="BJ615" s="28">
        <f>F615*G615</f>
        <v>0</v>
      </c>
      <c r="BK615" s="28"/>
      <c r="BL615" s="28">
        <v>767</v>
      </c>
      <c r="BW615" s="28">
        <v>21</v>
      </c>
    </row>
    <row r="616" spans="1:75" x14ac:dyDescent="0.25">
      <c r="A616" s="31"/>
      <c r="C616" s="32" t="s">
        <v>98</v>
      </c>
      <c r="D616" s="32" t="s">
        <v>52</v>
      </c>
      <c r="F616" s="33">
        <v>7</v>
      </c>
      <c r="K616" s="34"/>
    </row>
    <row r="617" spans="1:75" ht="13.5" customHeight="1" x14ac:dyDescent="0.25">
      <c r="A617" s="2" t="s">
        <v>1140</v>
      </c>
      <c r="B617" s="3" t="s">
        <v>1040</v>
      </c>
      <c r="C617" s="83" t="s">
        <v>1141</v>
      </c>
      <c r="D617" s="80"/>
      <c r="E617" s="3" t="s">
        <v>975</v>
      </c>
      <c r="F617" s="28">
        <v>1245.58</v>
      </c>
      <c r="G617" s="28">
        <v>0</v>
      </c>
      <c r="H617" s="28">
        <f>F617*AO617</f>
        <v>0</v>
      </c>
      <c r="I617" s="28">
        <f>F617*AP617</f>
        <v>0</v>
      </c>
      <c r="J617" s="28">
        <f>F617*G617</f>
        <v>0</v>
      </c>
      <c r="K617" s="29" t="s">
        <v>61</v>
      </c>
      <c r="Z617" s="28">
        <f>IF(AQ617="5",BJ617,0)</f>
        <v>0</v>
      </c>
      <c r="AB617" s="28">
        <f>IF(AQ617="1",BH617,0)</f>
        <v>0</v>
      </c>
      <c r="AC617" s="28">
        <f>IF(AQ617="1",BI617,0)</f>
        <v>0</v>
      </c>
      <c r="AD617" s="28">
        <f>IF(AQ617="7",BH617,0)</f>
        <v>0</v>
      </c>
      <c r="AE617" s="28">
        <f>IF(AQ617="7",BI617,0)</f>
        <v>0</v>
      </c>
      <c r="AF617" s="28">
        <f>IF(AQ617="2",BH617,0)</f>
        <v>0</v>
      </c>
      <c r="AG617" s="28">
        <f>IF(AQ617="2",BI617,0)</f>
        <v>0</v>
      </c>
      <c r="AH617" s="28">
        <f>IF(AQ617="0",BJ617,0)</f>
        <v>0</v>
      </c>
      <c r="AI617" s="10" t="s">
        <v>236</v>
      </c>
      <c r="AJ617" s="28">
        <f>IF(AN617=0,J617,0)</f>
        <v>0</v>
      </c>
      <c r="AK617" s="28">
        <f>IF(AN617=12,J617,0)</f>
        <v>0</v>
      </c>
      <c r="AL617" s="28">
        <f>IF(AN617=21,J617,0)</f>
        <v>0</v>
      </c>
      <c r="AN617" s="28">
        <v>21</v>
      </c>
      <c r="AO617" s="28">
        <f>G617*0.190941838</f>
        <v>0</v>
      </c>
      <c r="AP617" s="28">
        <f>G617*(1-0.190941838)</f>
        <v>0</v>
      </c>
      <c r="AQ617" s="30" t="s">
        <v>98</v>
      </c>
      <c r="AV617" s="28">
        <f>AW617+AX617</f>
        <v>0</v>
      </c>
      <c r="AW617" s="28">
        <f>F617*AO617</f>
        <v>0</v>
      </c>
      <c r="AX617" s="28">
        <f>F617*AP617</f>
        <v>0</v>
      </c>
      <c r="AY617" s="30" t="s">
        <v>168</v>
      </c>
      <c r="AZ617" s="30" t="s">
        <v>876</v>
      </c>
      <c r="BA617" s="10" t="s">
        <v>242</v>
      </c>
      <c r="BC617" s="28">
        <f>AW617+AX617</f>
        <v>0</v>
      </c>
      <c r="BD617" s="28">
        <f>G617/(100-BE617)*100</f>
        <v>0</v>
      </c>
      <c r="BE617" s="28">
        <v>0</v>
      </c>
      <c r="BF617" s="28">
        <f>617</f>
        <v>617</v>
      </c>
      <c r="BH617" s="28">
        <f>F617*AO617</f>
        <v>0</v>
      </c>
      <c r="BI617" s="28">
        <f>F617*AP617</f>
        <v>0</v>
      </c>
      <c r="BJ617" s="28">
        <f>F617*G617</f>
        <v>0</v>
      </c>
      <c r="BK617" s="28"/>
      <c r="BL617" s="28">
        <v>767</v>
      </c>
      <c r="BW617" s="28">
        <v>21</v>
      </c>
    </row>
    <row r="618" spans="1:75" x14ac:dyDescent="0.25">
      <c r="A618" s="31"/>
      <c r="C618" s="32" t="s">
        <v>1142</v>
      </c>
      <c r="D618" s="32" t="s">
        <v>1143</v>
      </c>
      <c r="F618" s="33">
        <v>287.3</v>
      </c>
      <c r="K618" s="34"/>
    </row>
    <row r="619" spans="1:75" x14ac:dyDescent="0.25">
      <c r="A619" s="31"/>
      <c r="C619" s="32" t="s">
        <v>1144</v>
      </c>
      <c r="D619" s="32" t="s">
        <v>1145</v>
      </c>
      <c r="F619" s="33">
        <v>374.68</v>
      </c>
      <c r="K619" s="34"/>
    </row>
    <row r="620" spans="1:75" x14ac:dyDescent="0.25">
      <c r="A620" s="31"/>
      <c r="C620" s="32" t="s">
        <v>1146</v>
      </c>
      <c r="D620" s="32" t="s">
        <v>1147</v>
      </c>
      <c r="F620" s="33">
        <v>583.6</v>
      </c>
      <c r="K620" s="34"/>
    </row>
    <row r="621" spans="1:75" ht="13.5" customHeight="1" x14ac:dyDescent="0.25">
      <c r="A621" s="2" t="s">
        <v>1148</v>
      </c>
      <c r="B621" s="3" t="s">
        <v>1149</v>
      </c>
      <c r="C621" s="83" t="s">
        <v>1150</v>
      </c>
      <c r="D621" s="80"/>
      <c r="E621" s="3" t="s">
        <v>71</v>
      </c>
      <c r="F621" s="28">
        <v>0.58609</v>
      </c>
      <c r="G621" s="28">
        <v>0</v>
      </c>
      <c r="H621" s="28">
        <f>F621*AO621</f>
        <v>0</v>
      </c>
      <c r="I621" s="28">
        <f>F621*AP621</f>
        <v>0</v>
      </c>
      <c r="J621" s="28">
        <f>F621*G621</f>
        <v>0</v>
      </c>
      <c r="K621" s="29" t="s">
        <v>61</v>
      </c>
      <c r="Z621" s="28">
        <f>IF(AQ621="5",BJ621,0)</f>
        <v>0</v>
      </c>
      <c r="AB621" s="28">
        <f>IF(AQ621="1",BH621,0)</f>
        <v>0</v>
      </c>
      <c r="AC621" s="28">
        <f>IF(AQ621="1",BI621,0)</f>
        <v>0</v>
      </c>
      <c r="AD621" s="28">
        <f>IF(AQ621="7",BH621,0)</f>
        <v>0</v>
      </c>
      <c r="AE621" s="28">
        <f>IF(AQ621="7",BI621,0)</f>
        <v>0</v>
      </c>
      <c r="AF621" s="28">
        <f>IF(AQ621="2",BH621,0)</f>
        <v>0</v>
      </c>
      <c r="AG621" s="28">
        <f>IF(AQ621="2",BI621,0)</f>
        <v>0</v>
      </c>
      <c r="AH621" s="28">
        <f>IF(AQ621="0",BJ621,0)</f>
        <v>0</v>
      </c>
      <c r="AI621" s="10" t="s">
        <v>236</v>
      </c>
      <c r="AJ621" s="28">
        <f>IF(AN621=0,J621,0)</f>
        <v>0</v>
      </c>
      <c r="AK621" s="28">
        <f>IF(AN621=12,J621,0)</f>
        <v>0</v>
      </c>
      <c r="AL621" s="28">
        <f>IF(AN621=21,J621,0)</f>
        <v>0</v>
      </c>
      <c r="AN621" s="28">
        <v>21</v>
      </c>
      <c r="AO621" s="28">
        <f>G621*1</f>
        <v>0</v>
      </c>
      <c r="AP621" s="28">
        <f>G621*(1-1)</f>
        <v>0</v>
      </c>
      <c r="AQ621" s="30" t="s">
        <v>98</v>
      </c>
      <c r="AV621" s="28">
        <f>AW621+AX621</f>
        <v>0</v>
      </c>
      <c r="AW621" s="28">
        <f>F621*AO621</f>
        <v>0</v>
      </c>
      <c r="AX621" s="28">
        <f>F621*AP621</f>
        <v>0</v>
      </c>
      <c r="AY621" s="30" t="s">
        <v>168</v>
      </c>
      <c r="AZ621" s="30" t="s">
        <v>876</v>
      </c>
      <c r="BA621" s="10" t="s">
        <v>242</v>
      </c>
      <c r="BC621" s="28">
        <f>AW621+AX621</f>
        <v>0</v>
      </c>
      <c r="BD621" s="28">
        <f>G621/(100-BE621)*100</f>
        <v>0</v>
      </c>
      <c r="BE621" s="28">
        <v>0</v>
      </c>
      <c r="BF621" s="28">
        <f>621</f>
        <v>621</v>
      </c>
      <c r="BH621" s="28">
        <f>F621*AO621</f>
        <v>0</v>
      </c>
      <c r="BI621" s="28">
        <f>F621*AP621</f>
        <v>0</v>
      </c>
      <c r="BJ621" s="28">
        <f>F621*G621</f>
        <v>0</v>
      </c>
      <c r="BK621" s="28"/>
      <c r="BL621" s="28">
        <v>767</v>
      </c>
      <c r="BW621" s="28">
        <v>21</v>
      </c>
    </row>
    <row r="622" spans="1:75" x14ac:dyDescent="0.25">
      <c r="A622" s="31"/>
      <c r="C622" s="32" t="s">
        <v>1151</v>
      </c>
      <c r="D622" s="32" t="s">
        <v>52</v>
      </c>
      <c r="F622" s="33">
        <v>0.5746</v>
      </c>
      <c r="K622" s="34"/>
    </row>
    <row r="623" spans="1:75" x14ac:dyDescent="0.25">
      <c r="A623" s="31"/>
      <c r="C623" s="32" t="s">
        <v>1152</v>
      </c>
      <c r="D623" s="32" t="s">
        <v>52</v>
      </c>
      <c r="F623" s="33">
        <v>1.149E-2</v>
      </c>
      <c r="K623" s="34"/>
    </row>
    <row r="624" spans="1:75" ht="13.5" customHeight="1" x14ac:dyDescent="0.25">
      <c r="A624" s="2" t="s">
        <v>1153</v>
      </c>
      <c r="B624" s="3" t="s">
        <v>1149</v>
      </c>
      <c r="C624" s="83" t="s">
        <v>1154</v>
      </c>
      <c r="D624" s="80"/>
      <c r="E624" s="3" t="s">
        <v>71</v>
      </c>
      <c r="F624" s="28">
        <v>0.37468000000000001</v>
      </c>
      <c r="G624" s="28">
        <v>0</v>
      </c>
      <c r="H624" s="28">
        <f>F624*AO624</f>
        <v>0</v>
      </c>
      <c r="I624" s="28">
        <f>F624*AP624</f>
        <v>0</v>
      </c>
      <c r="J624" s="28">
        <f>F624*G624</f>
        <v>0</v>
      </c>
      <c r="K624" s="29" t="s">
        <v>61</v>
      </c>
      <c r="Z624" s="28">
        <f>IF(AQ624="5",BJ624,0)</f>
        <v>0</v>
      </c>
      <c r="AB624" s="28">
        <f>IF(AQ624="1",BH624,0)</f>
        <v>0</v>
      </c>
      <c r="AC624" s="28">
        <f>IF(AQ624="1",BI624,0)</f>
        <v>0</v>
      </c>
      <c r="AD624" s="28">
        <f>IF(AQ624="7",BH624,0)</f>
        <v>0</v>
      </c>
      <c r="AE624" s="28">
        <f>IF(AQ624="7",BI624,0)</f>
        <v>0</v>
      </c>
      <c r="AF624" s="28">
        <f>IF(AQ624="2",BH624,0)</f>
        <v>0</v>
      </c>
      <c r="AG624" s="28">
        <f>IF(AQ624="2",BI624,0)</f>
        <v>0</v>
      </c>
      <c r="AH624" s="28">
        <f>IF(AQ624="0",BJ624,0)</f>
        <v>0</v>
      </c>
      <c r="AI624" s="10" t="s">
        <v>236</v>
      </c>
      <c r="AJ624" s="28">
        <f>IF(AN624=0,J624,0)</f>
        <v>0</v>
      </c>
      <c r="AK624" s="28">
        <f>IF(AN624=12,J624,0)</f>
        <v>0</v>
      </c>
      <c r="AL624" s="28">
        <f>IF(AN624=21,J624,0)</f>
        <v>0</v>
      </c>
      <c r="AN624" s="28">
        <v>21</v>
      </c>
      <c r="AO624" s="28">
        <f>G624*1</f>
        <v>0</v>
      </c>
      <c r="AP624" s="28">
        <f>G624*(1-1)</f>
        <v>0</v>
      </c>
      <c r="AQ624" s="30" t="s">
        <v>98</v>
      </c>
      <c r="AV624" s="28">
        <f>AW624+AX624</f>
        <v>0</v>
      </c>
      <c r="AW624" s="28">
        <f>F624*AO624</f>
        <v>0</v>
      </c>
      <c r="AX624" s="28">
        <f>F624*AP624</f>
        <v>0</v>
      </c>
      <c r="AY624" s="30" t="s">
        <v>168</v>
      </c>
      <c r="AZ624" s="30" t="s">
        <v>876</v>
      </c>
      <c r="BA624" s="10" t="s">
        <v>242</v>
      </c>
      <c r="BC624" s="28">
        <f>AW624+AX624</f>
        <v>0</v>
      </c>
      <c r="BD624" s="28">
        <f>G624/(100-BE624)*100</f>
        <v>0</v>
      </c>
      <c r="BE624" s="28">
        <v>0</v>
      </c>
      <c r="BF624" s="28">
        <f>624</f>
        <v>624</v>
      </c>
      <c r="BH624" s="28">
        <f>F624*AO624</f>
        <v>0</v>
      </c>
      <c r="BI624" s="28">
        <f>F624*AP624</f>
        <v>0</v>
      </c>
      <c r="BJ624" s="28">
        <f>F624*G624</f>
        <v>0</v>
      </c>
      <c r="BK624" s="28"/>
      <c r="BL624" s="28">
        <v>767</v>
      </c>
      <c r="BW624" s="28">
        <v>21</v>
      </c>
    </row>
    <row r="625" spans="1:75" x14ac:dyDescent="0.25">
      <c r="A625" s="31"/>
      <c r="C625" s="32" t="s">
        <v>1155</v>
      </c>
      <c r="D625" s="32" t="s">
        <v>52</v>
      </c>
      <c r="F625" s="33">
        <v>0.37468000000000001</v>
      </c>
      <c r="K625" s="34"/>
    </row>
    <row r="626" spans="1:75" ht="13.5" customHeight="1" x14ac:dyDescent="0.25">
      <c r="A626" s="2" t="s">
        <v>1156</v>
      </c>
      <c r="B626" s="3" t="s">
        <v>1149</v>
      </c>
      <c r="C626" s="83" t="s">
        <v>1157</v>
      </c>
      <c r="D626" s="80"/>
      <c r="E626" s="3" t="s">
        <v>71</v>
      </c>
      <c r="F626" s="28">
        <v>0.58360000000000001</v>
      </c>
      <c r="G626" s="28">
        <v>0</v>
      </c>
      <c r="H626" s="28">
        <f>F626*AO626</f>
        <v>0</v>
      </c>
      <c r="I626" s="28">
        <f>F626*AP626</f>
        <v>0</v>
      </c>
      <c r="J626" s="28">
        <f>F626*G626</f>
        <v>0</v>
      </c>
      <c r="K626" s="29" t="s">
        <v>61</v>
      </c>
      <c r="Z626" s="28">
        <f>IF(AQ626="5",BJ626,0)</f>
        <v>0</v>
      </c>
      <c r="AB626" s="28">
        <f>IF(AQ626="1",BH626,0)</f>
        <v>0</v>
      </c>
      <c r="AC626" s="28">
        <f>IF(AQ626="1",BI626,0)</f>
        <v>0</v>
      </c>
      <c r="AD626" s="28">
        <f>IF(AQ626="7",BH626,0)</f>
        <v>0</v>
      </c>
      <c r="AE626" s="28">
        <f>IF(AQ626="7",BI626,0)</f>
        <v>0</v>
      </c>
      <c r="AF626" s="28">
        <f>IF(AQ626="2",BH626,0)</f>
        <v>0</v>
      </c>
      <c r="AG626" s="28">
        <f>IF(AQ626="2",BI626,0)</f>
        <v>0</v>
      </c>
      <c r="AH626" s="28">
        <f>IF(AQ626="0",BJ626,0)</f>
        <v>0</v>
      </c>
      <c r="AI626" s="10" t="s">
        <v>236</v>
      </c>
      <c r="AJ626" s="28">
        <f>IF(AN626=0,J626,0)</f>
        <v>0</v>
      </c>
      <c r="AK626" s="28">
        <f>IF(AN626=12,J626,0)</f>
        <v>0</v>
      </c>
      <c r="AL626" s="28">
        <f>IF(AN626=21,J626,0)</f>
        <v>0</v>
      </c>
      <c r="AN626" s="28">
        <v>21</v>
      </c>
      <c r="AO626" s="28">
        <f>G626*1</f>
        <v>0</v>
      </c>
      <c r="AP626" s="28">
        <f>G626*(1-1)</f>
        <v>0</v>
      </c>
      <c r="AQ626" s="30" t="s">
        <v>98</v>
      </c>
      <c r="AV626" s="28">
        <f>AW626+AX626</f>
        <v>0</v>
      </c>
      <c r="AW626" s="28">
        <f>F626*AO626</f>
        <v>0</v>
      </c>
      <c r="AX626" s="28">
        <f>F626*AP626</f>
        <v>0</v>
      </c>
      <c r="AY626" s="30" t="s">
        <v>168</v>
      </c>
      <c r="AZ626" s="30" t="s">
        <v>876</v>
      </c>
      <c r="BA626" s="10" t="s">
        <v>242</v>
      </c>
      <c r="BC626" s="28">
        <f>AW626+AX626</f>
        <v>0</v>
      </c>
      <c r="BD626" s="28">
        <f>G626/(100-BE626)*100</f>
        <v>0</v>
      </c>
      <c r="BE626" s="28">
        <v>0</v>
      </c>
      <c r="BF626" s="28">
        <f>626</f>
        <v>626</v>
      </c>
      <c r="BH626" s="28">
        <f>F626*AO626</f>
        <v>0</v>
      </c>
      <c r="BI626" s="28">
        <f>F626*AP626</f>
        <v>0</v>
      </c>
      <c r="BJ626" s="28">
        <f>F626*G626</f>
        <v>0</v>
      </c>
      <c r="BK626" s="28"/>
      <c r="BL626" s="28">
        <v>767</v>
      </c>
      <c r="BW626" s="28">
        <v>21</v>
      </c>
    </row>
    <row r="627" spans="1:75" x14ac:dyDescent="0.25">
      <c r="A627" s="31"/>
      <c r="C627" s="32" t="s">
        <v>1158</v>
      </c>
      <c r="D627" s="32" t="s">
        <v>52</v>
      </c>
      <c r="F627" s="33">
        <v>0.58360000000000001</v>
      </c>
      <c r="K627" s="34"/>
    </row>
    <row r="628" spans="1:75" ht="13.5" customHeight="1" x14ac:dyDescent="0.25">
      <c r="A628" s="2" t="s">
        <v>1159</v>
      </c>
      <c r="B628" s="3" t="s">
        <v>1160</v>
      </c>
      <c r="C628" s="83" t="s">
        <v>1161</v>
      </c>
      <c r="D628" s="80"/>
      <c r="E628" s="3" t="s">
        <v>975</v>
      </c>
      <c r="F628" s="28">
        <v>947.4</v>
      </c>
      <c r="G628" s="28">
        <v>0</v>
      </c>
      <c r="H628" s="28">
        <f>F628*AO628</f>
        <v>0</v>
      </c>
      <c r="I628" s="28">
        <f>F628*AP628</f>
        <v>0</v>
      </c>
      <c r="J628" s="28">
        <f>F628*G628</f>
        <v>0</v>
      </c>
      <c r="K628" s="29" t="s">
        <v>61</v>
      </c>
      <c r="Z628" s="28">
        <f>IF(AQ628="5",BJ628,0)</f>
        <v>0</v>
      </c>
      <c r="AB628" s="28">
        <f>IF(AQ628="1",BH628,0)</f>
        <v>0</v>
      </c>
      <c r="AC628" s="28">
        <f>IF(AQ628="1",BI628,0)</f>
        <v>0</v>
      </c>
      <c r="AD628" s="28">
        <f>IF(AQ628="7",BH628,0)</f>
        <v>0</v>
      </c>
      <c r="AE628" s="28">
        <f>IF(AQ628="7",BI628,0)</f>
        <v>0</v>
      </c>
      <c r="AF628" s="28">
        <f>IF(AQ628="2",BH628,0)</f>
        <v>0</v>
      </c>
      <c r="AG628" s="28">
        <f>IF(AQ628="2",BI628,0)</f>
        <v>0</v>
      </c>
      <c r="AH628" s="28">
        <f>IF(AQ628="0",BJ628,0)</f>
        <v>0</v>
      </c>
      <c r="AI628" s="10" t="s">
        <v>236</v>
      </c>
      <c r="AJ628" s="28">
        <f>IF(AN628=0,J628,0)</f>
        <v>0</v>
      </c>
      <c r="AK628" s="28">
        <f>IF(AN628=12,J628,0)</f>
        <v>0</v>
      </c>
      <c r="AL628" s="28">
        <f>IF(AN628=21,J628,0)</f>
        <v>0</v>
      </c>
      <c r="AN628" s="28">
        <v>21</v>
      </c>
      <c r="AO628" s="28">
        <f>G628*0.11442749</f>
        <v>0</v>
      </c>
      <c r="AP628" s="28">
        <f>G628*(1-0.11442749)</f>
        <v>0</v>
      </c>
      <c r="AQ628" s="30" t="s">
        <v>98</v>
      </c>
      <c r="AV628" s="28">
        <f>AW628+AX628</f>
        <v>0</v>
      </c>
      <c r="AW628" s="28">
        <f>F628*AO628</f>
        <v>0</v>
      </c>
      <c r="AX628" s="28">
        <f>F628*AP628</f>
        <v>0</v>
      </c>
      <c r="AY628" s="30" t="s">
        <v>168</v>
      </c>
      <c r="AZ628" s="30" t="s">
        <v>876</v>
      </c>
      <c r="BA628" s="10" t="s">
        <v>242</v>
      </c>
      <c r="BC628" s="28">
        <f>AW628+AX628</f>
        <v>0</v>
      </c>
      <c r="BD628" s="28">
        <f>G628/(100-BE628)*100</f>
        <v>0</v>
      </c>
      <c r="BE628" s="28">
        <v>0</v>
      </c>
      <c r="BF628" s="28">
        <f>628</f>
        <v>628</v>
      </c>
      <c r="BH628" s="28">
        <f>F628*AO628</f>
        <v>0</v>
      </c>
      <c r="BI628" s="28">
        <f>F628*AP628</f>
        <v>0</v>
      </c>
      <c r="BJ628" s="28">
        <f>F628*G628</f>
        <v>0</v>
      </c>
      <c r="BK628" s="28"/>
      <c r="BL628" s="28">
        <v>767</v>
      </c>
      <c r="BW628" s="28">
        <v>21</v>
      </c>
    </row>
    <row r="629" spans="1:75" x14ac:dyDescent="0.25">
      <c r="A629" s="31"/>
      <c r="C629" s="32" t="s">
        <v>1162</v>
      </c>
      <c r="D629" s="32" t="s">
        <v>1163</v>
      </c>
      <c r="F629" s="33">
        <v>58</v>
      </c>
      <c r="K629" s="34"/>
    </row>
    <row r="630" spans="1:75" x14ac:dyDescent="0.25">
      <c r="A630" s="31"/>
      <c r="C630" s="32" t="s">
        <v>1164</v>
      </c>
      <c r="D630" s="32" t="s">
        <v>1165</v>
      </c>
      <c r="F630" s="33">
        <v>401.04</v>
      </c>
      <c r="K630" s="34"/>
    </row>
    <row r="631" spans="1:75" x14ac:dyDescent="0.25">
      <c r="A631" s="31"/>
      <c r="C631" s="32" t="s">
        <v>1166</v>
      </c>
      <c r="D631" s="32" t="s">
        <v>1167</v>
      </c>
      <c r="F631" s="33">
        <v>53.76</v>
      </c>
      <c r="K631" s="34"/>
    </row>
    <row r="632" spans="1:75" x14ac:dyDescent="0.25">
      <c r="A632" s="31"/>
      <c r="C632" s="32" t="s">
        <v>1168</v>
      </c>
      <c r="D632" s="32" t="s">
        <v>1169</v>
      </c>
      <c r="F632" s="33">
        <v>434.6</v>
      </c>
      <c r="K632" s="34"/>
    </row>
    <row r="633" spans="1:75" ht="13.5" customHeight="1" x14ac:dyDescent="0.25">
      <c r="A633" s="2" t="s">
        <v>1170</v>
      </c>
      <c r="B633" s="3" t="s">
        <v>1149</v>
      </c>
      <c r="C633" s="83" t="s">
        <v>1171</v>
      </c>
      <c r="D633" s="80"/>
      <c r="E633" s="3" t="s">
        <v>71</v>
      </c>
      <c r="F633" s="28">
        <v>5.5800000000000002E-2</v>
      </c>
      <c r="G633" s="28">
        <v>0</v>
      </c>
      <c r="H633" s="28">
        <f>F633*AO633</f>
        <v>0</v>
      </c>
      <c r="I633" s="28">
        <f>F633*AP633</f>
        <v>0</v>
      </c>
      <c r="J633" s="28">
        <f>F633*G633</f>
        <v>0</v>
      </c>
      <c r="K633" s="29" t="s">
        <v>61</v>
      </c>
      <c r="Z633" s="28">
        <f>IF(AQ633="5",BJ633,0)</f>
        <v>0</v>
      </c>
      <c r="AB633" s="28">
        <f>IF(AQ633="1",BH633,0)</f>
        <v>0</v>
      </c>
      <c r="AC633" s="28">
        <f>IF(AQ633="1",BI633,0)</f>
        <v>0</v>
      </c>
      <c r="AD633" s="28">
        <f>IF(AQ633="7",BH633,0)</f>
        <v>0</v>
      </c>
      <c r="AE633" s="28">
        <f>IF(AQ633="7",BI633,0)</f>
        <v>0</v>
      </c>
      <c r="AF633" s="28">
        <f>IF(AQ633="2",BH633,0)</f>
        <v>0</v>
      </c>
      <c r="AG633" s="28">
        <f>IF(AQ633="2",BI633,0)</f>
        <v>0</v>
      </c>
      <c r="AH633" s="28">
        <f>IF(AQ633="0",BJ633,0)</f>
        <v>0</v>
      </c>
      <c r="AI633" s="10" t="s">
        <v>236</v>
      </c>
      <c r="AJ633" s="28">
        <f>IF(AN633=0,J633,0)</f>
        <v>0</v>
      </c>
      <c r="AK633" s="28">
        <f>IF(AN633=12,J633,0)</f>
        <v>0</v>
      </c>
      <c r="AL633" s="28">
        <f>IF(AN633=21,J633,0)</f>
        <v>0</v>
      </c>
      <c r="AN633" s="28">
        <v>21</v>
      </c>
      <c r="AO633" s="28">
        <f>G633*1</f>
        <v>0</v>
      </c>
      <c r="AP633" s="28">
        <f>G633*(1-1)</f>
        <v>0</v>
      </c>
      <c r="AQ633" s="30" t="s">
        <v>98</v>
      </c>
      <c r="AV633" s="28">
        <f>AW633+AX633</f>
        <v>0</v>
      </c>
      <c r="AW633" s="28">
        <f>F633*AO633</f>
        <v>0</v>
      </c>
      <c r="AX633" s="28">
        <f>F633*AP633</f>
        <v>0</v>
      </c>
      <c r="AY633" s="30" t="s">
        <v>168</v>
      </c>
      <c r="AZ633" s="30" t="s">
        <v>876</v>
      </c>
      <c r="BA633" s="10" t="s">
        <v>242</v>
      </c>
      <c r="BC633" s="28">
        <f>AW633+AX633</f>
        <v>0</v>
      </c>
      <c r="BD633" s="28">
        <f>G633/(100-BE633)*100</f>
        <v>0</v>
      </c>
      <c r="BE633" s="28">
        <v>0</v>
      </c>
      <c r="BF633" s="28">
        <f>633</f>
        <v>633</v>
      </c>
      <c r="BH633" s="28">
        <f>F633*AO633</f>
        <v>0</v>
      </c>
      <c r="BI633" s="28">
        <f>F633*AP633</f>
        <v>0</v>
      </c>
      <c r="BJ633" s="28">
        <f>F633*G633</f>
        <v>0</v>
      </c>
      <c r="BK633" s="28"/>
      <c r="BL633" s="28">
        <v>767</v>
      </c>
      <c r="BW633" s="28">
        <v>21</v>
      </c>
    </row>
    <row r="634" spans="1:75" x14ac:dyDescent="0.25">
      <c r="A634" s="31"/>
      <c r="C634" s="32" t="s">
        <v>1172</v>
      </c>
      <c r="D634" s="32" t="s">
        <v>1163</v>
      </c>
      <c r="F634" s="33">
        <v>5.5800000000000002E-2</v>
      </c>
      <c r="K634" s="34"/>
    </row>
    <row r="635" spans="1:75" ht="13.5" customHeight="1" x14ac:dyDescent="0.25">
      <c r="A635" s="2" t="s">
        <v>1173</v>
      </c>
      <c r="B635" s="3" t="s">
        <v>1149</v>
      </c>
      <c r="C635" s="83" t="s">
        <v>1174</v>
      </c>
      <c r="D635" s="80"/>
      <c r="E635" s="3" t="s">
        <v>71</v>
      </c>
      <c r="F635" s="28">
        <v>0.40901999999999999</v>
      </c>
      <c r="G635" s="28">
        <v>0</v>
      </c>
      <c r="H635" s="28">
        <f>F635*AO635</f>
        <v>0</v>
      </c>
      <c r="I635" s="28">
        <f>F635*AP635</f>
        <v>0</v>
      </c>
      <c r="J635" s="28">
        <f>F635*G635</f>
        <v>0</v>
      </c>
      <c r="K635" s="29" t="s">
        <v>61</v>
      </c>
      <c r="Z635" s="28">
        <f>IF(AQ635="5",BJ635,0)</f>
        <v>0</v>
      </c>
      <c r="AB635" s="28">
        <f>IF(AQ635="1",BH635,0)</f>
        <v>0</v>
      </c>
      <c r="AC635" s="28">
        <f>IF(AQ635="1",BI635,0)</f>
        <v>0</v>
      </c>
      <c r="AD635" s="28">
        <f>IF(AQ635="7",BH635,0)</f>
        <v>0</v>
      </c>
      <c r="AE635" s="28">
        <f>IF(AQ635="7",BI635,0)</f>
        <v>0</v>
      </c>
      <c r="AF635" s="28">
        <f>IF(AQ635="2",BH635,0)</f>
        <v>0</v>
      </c>
      <c r="AG635" s="28">
        <f>IF(AQ635="2",BI635,0)</f>
        <v>0</v>
      </c>
      <c r="AH635" s="28">
        <f>IF(AQ635="0",BJ635,0)</f>
        <v>0</v>
      </c>
      <c r="AI635" s="10" t="s">
        <v>236</v>
      </c>
      <c r="AJ635" s="28">
        <f>IF(AN635=0,J635,0)</f>
        <v>0</v>
      </c>
      <c r="AK635" s="28">
        <f>IF(AN635=12,J635,0)</f>
        <v>0</v>
      </c>
      <c r="AL635" s="28">
        <f>IF(AN635=21,J635,0)</f>
        <v>0</v>
      </c>
      <c r="AN635" s="28">
        <v>21</v>
      </c>
      <c r="AO635" s="28">
        <f>G635*1</f>
        <v>0</v>
      </c>
      <c r="AP635" s="28">
        <f>G635*(1-1)</f>
        <v>0</v>
      </c>
      <c r="AQ635" s="30" t="s">
        <v>98</v>
      </c>
      <c r="AV635" s="28">
        <f>AW635+AX635</f>
        <v>0</v>
      </c>
      <c r="AW635" s="28">
        <f>F635*AO635</f>
        <v>0</v>
      </c>
      <c r="AX635" s="28">
        <f>F635*AP635</f>
        <v>0</v>
      </c>
      <c r="AY635" s="30" t="s">
        <v>168</v>
      </c>
      <c r="AZ635" s="30" t="s">
        <v>876</v>
      </c>
      <c r="BA635" s="10" t="s">
        <v>242</v>
      </c>
      <c r="BC635" s="28">
        <f>AW635+AX635</f>
        <v>0</v>
      </c>
      <c r="BD635" s="28">
        <f>G635/(100-BE635)*100</f>
        <v>0</v>
      </c>
      <c r="BE635" s="28">
        <v>0</v>
      </c>
      <c r="BF635" s="28">
        <f>635</f>
        <v>635</v>
      </c>
      <c r="BH635" s="28">
        <f>F635*AO635</f>
        <v>0</v>
      </c>
      <c r="BI635" s="28">
        <f>F635*AP635</f>
        <v>0</v>
      </c>
      <c r="BJ635" s="28">
        <f>F635*G635</f>
        <v>0</v>
      </c>
      <c r="BK635" s="28"/>
      <c r="BL635" s="28">
        <v>767</v>
      </c>
      <c r="BW635" s="28">
        <v>21</v>
      </c>
    </row>
    <row r="636" spans="1:75" x14ac:dyDescent="0.25">
      <c r="A636" s="31"/>
      <c r="C636" s="32" t="s">
        <v>1175</v>
      </c>
      <c r="D636" s="32" t="s">
        <v>1165</v>
      </c>
      <c r="F636" s="33">
        <v>0.40100000000000002</v>
      </c>
      <c r="K636" s="34"/>
    </row>
    <row r="637" spans="1:75" x14ac:dyDescent="0.25">
      <c r="A637" s="31"/>
      <c r="C637" s="32" t="s">
        <v>1176</v>
      </c>
      <c r="D637" s="32" t="s">
        <v>52</v>
      </c>
      <c r="F637" s="33">
        <v>8.0199999999999994E-3</v>
      </c>
      <c r="K637" s="34"/>
    </row>
    <row r="638" spans="1:75" ht="13.5" customHeight="1" x14ac:dyDescent="0.25">
      <c r="A638" s="2" t="s">
        <v>1177</v>
      </c>
      <c r="B638" s="3" t="s">
        <v>1149</v>
      </c>
      <c r="C638" s="83" t="s">
        <v>1178</v>
      </c>
      <c r="D638" s="80"/>
      <c r="E638" s="3" t="s">
        <v>71</v>
      </c>
      <c r="F638" s="28">
        <v>5.484E-2</v>
      </c>
      <c r="G638" s="28">
        <v>0</v>
      </c>
      <c r="H638" s="28">
        <f>F638*AO638</f>
        <v>0</v>
      </c>
      <c r="I638" s="28">
        <f>F638*AP638</f>
        <v>0</v>
      </c>
      <c r="J638" s="28">
        <f>F638*G638</f>
        <v>0</v>
      </c>
      <c r="K638" s="29" t="s">
        <v>61</v>
      </c>
      <c r="Z638" s="28">
        <f>IF(AQ638="5",BJ638,0)</f>
        <v>0</v>
      </c>
      <c r="AB638" s="28">
        <f>IF(AQ638="1",BH638,0)</f>
        <v>0</v>
      </c>
      <c r="AC638" s="28">
        <f>IF(AQ638="1",BI638,0)</f>
        <v>0</v>
      </c>
      <c r="AD638" s="28">
        <f>IF(AQ638="7",BH638,0)</f>
        <v>0</v>
      </c>
      <c r="AE638" s="28">
        <f>IF(AQ638="7",BI638,0)</f>
        <v>0</v>
      </c>
      <c r="AF638" s="28">
        <f>IF(AQ638="2",BH638,0)</f>
        <v>0</v>
      </c>
      <c r="AG638" s="28">
        <f>IF(AQ638="2",BI638,0)</f>
        <v>0</v>
      </c>
      <c r="AH638" s="28">
        <f>IF(AQ638="0",BJ638,0)</f>
        <v>0</v>
      </c>
      <c r="AI638" s="10" t="s">
        <v>236</v>
      </c>
      <c r="AJ638" s="28">
        <f>IF(AN638=0,J638,0)</f>
        <v>0</v>
      </c>
      <c r="AK638" s="28">
        <f>IF(AN638=12,J638,0)</f>
        <v>0</v>
      </c>
      <c r="AL638" s="28">
        <f>IF(AN638=21,J638,0)</f>
        <v>0</v>
      </c>
      <c r="AN638" s="28">
        <v>21</v>
      </c>
      <c r="AO638" s="28">
        <f>G638*1</f>
        <v>0</v>
      </c>
      <c r="AP638" s="28">
        <f>G638*(1-1)</f>
        <v>0</v>
      </c>
      <c r="AQ638" s="30" t="s">
        <v>98</v>
      </c>
      <c r="AV638" s="28">
        <f>AW638+AX638</f>
        <v>0</v>
      </c>
      <c r="AW638" s="28">
        <f>F638*AO638</f>
        <v>0</v>
      </c>
      <c r="AX638" s="28">
        <f>F638*AP638</f>
        <v>0</v>
      </c>
      <c r="AY638" s="30" t="s">
        <v>168</v>
      </c>
      <c r="AZ638" s="30" t="s">
        <v>876</v>
      </c>
      <c r="BA638" s="10" t="s">
        <v>242</v>
      </c>
      <c r="BC638" s="28">
        <f>AW638+AX638</f>
        <v>0</v>
      </c>
      <c r="BD638" s="28">
        <f>G638/(100-BE638)*100</f>
        <v>0</v>
      </c>
      <c r="BE638" s="28">
        <v>0</v>
      </c>
      <c r="BF638" s="28">
        <f>638</f>
        <v>638</v>
      </c>
      <c r="BH638" s="28">
        <f>F638*AO638</f>
        <v>0</v>
      </c>
      <c r="BI638" s="28">
        <f>F638*AP638</f>
        <v>0</v>
      </c>
      <c r="BJ638" s="28">
        <f>F638*G638</f>
        <v>0</v>
      </c>
      <c r="BK638" s="28"/>
      <c r="BL638" s="28">
        <v>767</v>
      </c>
      <c r="BW638" s="28">
        <v>21</v>
      </c>
    </row>
    <row r="639" spans="1:75" x14ac:dyDescent="0.25">
      <c r="A639" s="31"/>
      <c r="C639" s="32" t="s">
        <v>1179</v>
      </c>
      <c r="D639" s="32" t="s">
        <v>1167</v>
      </c>
      <c r="F639" s="33">
        <v>5.3760000000000002E-2</v>
      </c>
      <c r="K639" s="34"/>
    </row>
    <row r="640" spans="1:75" x14ac:dyDescent="0.25">
      <c r="A640" s="31"/>
      <c r="C640" s="32" t="s">
        <v>1180</v>
      </c>
      <c r="D640" s="32" t="s">
        <v>52</v>
      </c>
      <c r="F640" s="33">
        <v>1.08E-3</v>
      </c>
      <c r="K640" s="34"/>
    </row>
    <row r="641" spans="1:75" ht="13.5" customHeight="1" x14ac:dyDescent="0.25">
      <c r="A641" s="2" t="s">
        <v>1181</v>
      </c>
      <c r="B641" s="3" t="s">
        <v>1182</v>
      </c>
      <c r="C641" s="83" t="s">
        <v>1183</v>
      </c>
      <c r="D641" s="80"/>
      <c r="E641" s="3" t="s">
        <v>71</v>
      </c>
      <c r="F641" s="28">
        <v>0.43459999999999999</v>
      </c>
      <c r="G641" s="28">
        <v>0</v>
      </c>
      <c r="H641" s="28">
        <f>F641*AO641</f>
        <v>0</v>
      </c>
      <c r="I641" s="28">
        <f>F641*AP641</f>
        <v>0</v>
      </c>
      <c r="J641" s="28">
        <f>F641*G641</f>
        <v>0</v>
      </c>
      <c r="K641" s="29" t="s">
        <v>61</v>
      </c>
      <c r="Z641" s="28">
        <f>IF(AQ641="5",BJ641,0)</f>
        <v>0</v>
      </c>
      <c r="AB641" s="28">
        <f>IF(AQ641="1",BH641,0)</f>
        <v>0</v>
      </c>
      <c r="AC641" s="28">
        <f>IF(AQ641="1",BI641,0)</f>
        <v>0</v>
      </c>
      <c r="AD641" s="28">
        <f>IF(AQ641="7",BH641,0)</f>
        <v>0</v>
      </c>
      <c r="AE641" s="28">
        <f>IF(AQ641="7",BI641,0)</f>
        <v>0</v>
      </c>
      <c r="AF641" s="28">
        <f>IF(AQ641="2",BH641,0)</f>
        <v>0</v>
      </c>
      <c r="AG641" s="28">
        <f>IF(AQ641="2",BI641,0)</f>
        <v>0</v>
      </c>
      <c r="AH641" s="28">
        <f>IF(AQ641="0",BJ641,0)</f>
        <v>0</v>
      </c>
      <c r="AI641" s="10" t="s">
        <v>236</v>
      </c>
      <c r="AJ641" s="28">
        <f>IF(AN641=0,J641,0)</f>
        <v>0</v>
      </c>
      <c r="AK641" s="28">
        <f>IF(AN641=12,J641,0)</f>
        <v>0</v>
      </c>
      <c r="AL641" s="28">
        <f>IF(AN641=21,J641,0)</f>
        <v>0</v>
      </c>
      <c r="AN641" s="28">
        <v>21</v>
      </c>
      <c r="AO641" s="28">
        <f>G641*1</f>
        <v>0</v>
      </c>
      <c r="AP641" s="28">
        <f>G641*(1-1)</f>
        <v>0</v>
      </c>
      <c r="AQ641" s="30" t="s">
        <v>98</v>
      </c>
      <c r="AV641" s="28">
        <f>AW641+AX641</f>
        <v>0</v>
      </c>
      <c r="AW641" s="28">
        <f>F641*AO641</f>
        <v>0</v>
      </c>
      <c r="AX641" s="28">
        <f>F641*AP641</f>
        <v>0</v>
      </c>
      <c r="AY641" s="30" t="s">
        <v>168</v>
      </c>
      <c r="AZ641" s="30" t="s">
        <v>876</v>
      </c>
      <c r="BA641" s="10" t="s">
        <v>242</v>
      </c>
      <c r="BC641" s="28">
        <f>AW641+AX641</f>
        <v>0</v>
      </c>
      <c r="BD641" s="28">
        <f>G641/(100-BE641)*100</f>
        <v>0</v>
      </c>
      <c r="BE641" s="28">
        <v>0</v>
      </c>
      <c r="BF641" s="28">
        <f>641</f>
        <v>641</v>
      </c>
      <c r="BH641" s="28">
        <f>F641*AO641</f>
        <v>0</v>
      </c>
      <c r="BI641" s="28">
        <f>F641*AP641</f>
        <v>0</v>
      </c>
      <c r="BJ641" s="28">
        <f>F641*G641</f>
        <v>0</v>
      </c>
      <c r="BK641" s="28"/>
      <c r="BL641" s="28">
        <v>767</v>
      </c>
      <c r="BW641" s="28">
        <v>21</v>
      </c>
    </row>
    <row r="642" spans="1:75" x14ac:dyDescent="0.25">
      <c r="A642" s="31"/>
      <c r="C642" s="32" t="s">
        <v>1184</v>
      </c>
      <c r="D642" s="32" t="s">
        <v>52</v>
      </c>
      <c r="F642" s="33">
        <v>0.43459999999999999</v>
      </c>
      <c r="K642" s="34"/>
    </row>
    <row r="643" spans="1:75" ht="13.5" customHeight="1" x14ac:dyDescent="0.25">
      <c r="A643" s="2" t="s">
        <v>1185</v>
      </c>
      <c r="B643" s="3" t="s">
        <v>1062</v>
      </c>
      <c r="C643" s="83" t="s">
        <v>1186</v>
      </c>
      <c r="D643" s="80"/>
      <c r="E643" s="3" t="s">
        <v>975</v>
      </c>
      <c r="F643" s="28">
        <v>825.75</v>
      </c>
      <c r="G643" s="28">
        <v>0</v>
      </c>
      <c r="H643" s="28">
        <f>F643*AO643</f>
        <v>0</v>
      </c>
      <c r="I643" s="28">
        <f>F643*AP643</f>
        <v>0</v>
      </c>
      <c r="J643" s="28">
        <f>F643*G643</f>
        <v>0</v>
      </c>
      <c r="K643" s="29" t="s">
        <v>61</v>
      </c>
      <c r="Z643" s="28">
        <f>IF(AQ643="5",BJ643,0)</f>
        <v>0</v>
      </c>
      <c r="AB643" s="28">
        <f>IF(AQ643="1",BH643,0)</f>
        <v>0</v>
      </c>
      <c r="AC643" s="28">
        <f>IF(AQ643="1",BI643,0)</f>
        <v>0</v>
      </c>
      <c r="AD643" s="28">
        <f>IF(AQ643="7",BH643,0)</f>
        <v>0</v>
      </c>
      <c r="AE643" s="28">
        <f>IF(AQ643="7",BI643,0)</f>
        <v>0</v>
      </c>
      <c r="AF643" s="28">
        <f>IF(AQ643="2",BH643,0)</f>
        <v>0</v>
      </c>
      <c r="AG643" s="28">
        <f>IF(AQ643="2",BI643,0)</f>
        <v>0</v>
      </c>
      <c r="AH643" s="28">
        <f>IF(AQ643="0",BJ643,0)</f>
        <v>0</v>
      </c>
      <c r="AI643" s="10" t="s">
        <v>236</v>
      </c>
      <c r="AJ643" s="28">
        <f>IF(AN643=0,J643,0)</f>
        <v>0</v>
      </c>
      <c r="AK643" s="28">
        <f>IF(AN643=12,J643,0)</f>
        <v>0</v>
      </c>
      <c r="AL643" s="28">
        <f>IF(AN643=21,J643,0)</f>
        <v>0</v>
      </c>
      <c r="AN643" s="28">
        <v>21</v>
      </c>
      <c r="AO643" s="28">
        <f>G643*0.182121212</f>
        <v>0</v>
      </c>
      <c r="AP643" s="28">
        <f>G643*(1-0.182121212)</f>
        <v>0</v>
      </c>
      <c r="AQ643" s="30" t="s">
        <v>98</v>
      </c>
      <c r="AV643" s="28">
        <f>AW643+AX643</f>
        <v>0</v>
      </c>
      <c r="AW643" s="28">
        <f>F643*AO643</f>
        <v>0</v>
      </c>
      <c r="AX643" s="28">
        <f>F643*AP643</f>
        <v>0</v>
      </c>
      <c r="AY643" s="30" t="s">
        <v>168</v>
      </c>
      <c r="AZ643" s="30" t="s">
        <v>876</v>
      </c>
      <c r="BA643" s="10" t="s">
        <v>242</v>
      </c>
      <c r="BC643" s="28">
        <f>AW643+AX643</f>
        <v>0</v>
      </c>
      <c r="BD643" s="28">
        <f>G643/(100-BE643)*100</f>
        <v>0</v>
      </c>
      <c r="BE643" s="28">
        <v>0</v>
      </c>
      <c r="BF643" s="28">
        <f>643</f>
        <v>643</v>
      </c>
      <c r="BH643" s="28">
        <f>F643*AO643</f>
        <v>0</v>
      </c>
      <c r="BI643" s="28">
        <f>F643*AP643</f>
        <v>0</v>
      </c>
      <c r="BJ643" s="28">
        <f>F643*G643</f>
        <v>0</v>
      </c>
      <c r="BK643" s="28"/>
      <c r="BL643" s="28">
        <v>767</v>
      </c>
      <c r="BW643" s="28">
        <v>21</v>
      </c>
    </row>
    <row r="644" spans="1:75" x14ac:dyDescent="0.25">
      <c r="A644" s="31"/>
      <c r="C644" s="32" t="s">
        <v>1187</v>
      </c>
      <c r="D644" s="32" t="s">
        <v>1188</v>
      </c>
      <c r="F644" s="33">
        <v>393.39</v>
      </c>
      <c r="K644" s="34"/>
    </row>
    <row r="645" spans="1:75" x14ac:dyDescent="0.25">
      <c r="A645" s="31"/>
      <c r="C645" s="32" t="s">
        <v>1189</v>
      </c>
      <c r="D645" s="32" t="s">
        <v>1190</v>
      </c>
      <c r="F645" s="33">
        <v>264.95999999999998</v>
      </c>
      <c r="K645" s="34"/>
    </row>
    <row r="646" spans="1:75" x14ac:dyDescent="0.25">
      <c r="A646" s="31"/>
      <c r="C646" s="32" t="s">
        <v>1191</v>
      </c>
      <c r="D646" s="32" t="s">
        <v>1192</v>
      </c>
      <c r="F646" s="33">
        <v>167.4</v>
      </c>
      <c r="K646" s="34"/>
    </row>
    <row r="647" spans="1:75" ht="13.5" customHeight="1" x14ac:dyDescent="0.25">
      <c r="A647" s="2" t="s">
        <v>1193</v>
      </c>
      <c r="B647" s="3" t="s">
        <v>1149</v>
      </c>
      <c r="C647" s="83" t="s">
        <v>1194</v>
      </c>
      <c r="D647" s="80"/>
      <c r="E647" s="3" t="s">
        <v>71</v>
      </c>
      <c r="F647" s="28">
        <v>0.39339000000000002</v>
      </c>
      <c r="G647" s="28">
        <v>0</v>
      </c>
      <c r="H647" s="28">
        <f>F647*AO647</f>
        <v>0</v>
      </c>
      <c r="I647" s="28">
        <f>F647*AP647</f>
        <v>0</v>
      </c>
      <c r="J647" s="28">
        <f>F647*G647</f>
        <v>0</v>
      </c>
      <c r="K647" s="29" t="s">
        <v>61</v>
      </c>
      <c r="Z647" s="28">
        <f>IF(AQ647="5",BJ647,0)</f>
        <v>0</v>
      </c>
      <c r="AB647" s="28">
        <f>IF(AQ647="1",BH647,0)</f>
        <v>0</v>
      </c>
      <c r="AC647" s="28">
        <f>IF(AQ647="1",BI647,0)</f>
        <v>0</v>
      </c>
      <c r="AD647" s="28">
        <f>IF(AQ647="7",BH647,0)</f>
        <v>0</v>
      </c>
      <c r="AE647" s="28">
        <f>IF(AQ647="7",BI647,0)</f>
        <v>0</v>
      </c>
      <c r="AF647" s="28">
        <f>IF(AQ647="2",BH647,0)</f>
        <v>0</v>
      </c>
      <c r="AG647" s="28">
        <f>IF(AQ647="2",BI647,0)</f>
        <v>0</v>
      </c>
      <c r="AH647" s="28">
        <f>IF(AQ647="0",BJ647,0)</f>
        <v>0</v>
      </c>
      <c r="AI647" s="10" t="s">
        <v>236</v>
      </c>
      <c r="AJ647" s="28">
        <f>IF(AN647=0,J647,0)</f>
        <v>0</v>
      </c>
      <c r="AK647" s="28">
        <f>IF(AN647=12,J647,0)</f>
        <v>0</v>
      </c>
      <c r="AL647" s="28">
        <f>IF(AN647=21,J647,0)</f>
        <v>0</v>
      </c>
      <c r="AN647" s="28">
        <v>21</v>
      </c>
      <c r="AO647" s="28">
        <f>G647*1</f>
        <v>0</v>
      </c>
      <c r="AP647" s="28">
        <f>G647*(1-1)</f>
        <v>0</v>
      </c>
      <c r="AQ647" s="30" t="s">
        <v>98</v>
      </c>
      <c r="AV647" s="28">
        <f>AW647+AX647</f>
        <v>0</v>
      </c>
      <c r="AW647" s="28">
        <f>F647*AO647</f>
        <v>0</v>
      </c>
      <c r="AX647" s="28">
        <f>F647*AP647</f>
        <v>0</v>
      </c>
      <c r="AY647" s="30" t="s">
        <v>168</v>
      </c>
      <c r="AZ647" s="30" t="s">
        <v>876</v>
      </c>
      <c r="BA647" s="10" t="s">
        <v>242</v>
      </c>
      <c r="BC647" s="28">
        <f>AW647+AX647</f>
        <v>0</v>
      </c>
      <c r="BD647" s="28">
        <f>G647/(100-BE647)*100</f>
        <v>0</v>
      </c>
      <c r="BE647" s="28">
        <v>0</v>
      </c>
      <c r="BF647" s="28">
        <f>647</f>
        <v>647</v>
      </c>
      <c r="BH647" s="28">
        <f>F647*AO647</f>
        <v>0</v>
      </c>
      <c r="BI647" s="28">
        <f>F647*AP647</f>
        <v>0</v>
      </c>
      <c r="BJ647" s="28">
        <f>F647*G647</f>
        <v>0</v>
      </c>
      <c r="BK647" s="28"/>
      <c r="BL647" s="28">
        <v>767</v>
      </c>
      <c r="BW647" s="28">
        <v>21</v>
      </c>
    </row>
    <row r="648" spans="1:75" x14ac:dyDescent="0.25">
      <c r="A648" s="31"/>
      <c r="C648" s="32" t="s">
        <v>1195</v>
      </c>
      <c r="D648" s="32" t="s">
        <v>1188</v>
      </c>
      <c r="F648" s="33">
        <v>0.39339000000000002</v>
      </c>
      <c r="K648" s="34"/>
    </row>
    <row r="649" spans="1:75" ht="13.5" customHeight="1" x14ac:dyDescent="0.25">
      <c r="A649" s="2" t="s">
        <v>1196</v>
      </c>
      <c r="B649" s="3" t="s">
        <v>1149</v>
      </c>
      <c r="C649" s="83" t="s">
        <v>1197</v>
      </c>
      <c r="D649" s="80"/>
      <c r="E649" s="3" t="s">
        <v>71</v>
      </c>
      <c r="F649" s="28">
        <v>0.26495999999999997</v>
      </c>
      <c r="G649" s="28">
        <v>0</v>
      </c>
      <c r="H649" s="28">
        <f>F649*AO649</f>
        <v>0</v>
      </c>
      <c r="I649" s="28">
        <f>F649*AP649</f>
        <v>0</v>
      </c>
      <c r="J649" s="28">
        <f>F649*G649</f>
        <v>0</v>
      </c>
      <c r="K649" s="29" t="s">
        <v>61</v>
      </c>
      <c r="Z649" s="28">
        <f>IF(AQ649="5",BJ649,0)</f>
        <v>0</v>
      </c>
      <c r="AB649" s="28">
        <f>IF(AQ649="1",BH649,0)</f>
        <v>0</v>
      </c>
      <c r="AC649" s="28">
        <f>IF(AQ649="1",BI649,0)</f>
        <v>0</v>
      </c>
      <c r="AD649" s="28">
        <f>IF(AQ649="7",BH649,0)</f>
        <v>0</v>
      </c>
      <c r="AE649" s="28">
        <f>IF(AQ649="7",BI649,0)</f>
        <v>0</v>
      </c>
      <c r="AF649" s="28">
        <f>IF(AQ649="2",BH649,0)</f>
        <v>0</v>
      </c>
      <c r="AG649" s="28">
        <f>IF(AQ649="2",BI649,0)</f>
        <v>0</v>
      </c>
      <c r="AH649" s="28">
        <f>IF(AQ649="0",BJ649,0)</f>
        <v>0</v>
      </c>
      <c r="AI649" s="10" t="s">
        <v>236</v>
      </c>
      <c r="AJ649" s="28">
        <f>IF(AN649=0,J649,0)</f>
        <v>0</v>
      </c>
      <c r="AK649" s="28">
        <f>IF(AN649=12,J649,0)</f>
        <v>0</v>
      </c>
      <c r="AL649" s="28">
        <f>IF(AN649=21,J649,0)</f>
        <v>0</v>
      </c>
      <c r="AN649" s="28">
        <v>21</v>
      </c>
      <c r="AO649" s="28">
        <f>G649*1</f>
        <v>0</v>
      </c>
      <c r="AP649" s="28">
        <f>G649*(1-1)</f>
        <v>0</v>
      </c>
      <c r="AQ649" s="30" t="s">
        <v>98</v>
      </c>
      <c r="AV649" s="28">
        <f>AW649+AX649</f>
        <v>0</v>
      </c>
      <c r="AW649" s="28">
        <f>F649*AO649</f>
        <v>0</v>
      </c>
      <c r="AX649" s="28">
        <f>F649*AP649</f>
        <v>0</v>
      </c>
      <c r="AY649" s="30" t="s">
        <v>168</v>
      </c>
      <c r="AZ649" s="30" t="s">
        <v>876</v>
      </c>
      <c r="BA649" s="10" t="s">
        <v>242</v>
      </c>
      <c r="BC649" s="28">
        <f>AW649+AX649</f>
        <v>0</v>
      </c>
      <c r="BD649" s="28">
        <f>G649/(100-BE649)*100</f>
        <v>0</v>
      </c>
      <c r="BE649" s="28">
        <v>0</v>
      </c>
      <c r="BF649" s="28">
        <f>649</f>
        <v>649</v>
      </c>
      <c r="BH649" s="28">
        <f>F649*AO649</f>
        <v>0</v>
      </c>
      <c r="BI649" s="28">
        <f>F649*AP649</f>
        <v>0</v>
      </c>
      <c r="BJ649" s="28">
        <f>F649*G649</f>
        <v>0</v>
      </c>
      <c r="BK649" s="28"/>
      <c r="BL649" s="28">
        <v>767</v>
      </c>
      <c r="BW649" s="28">
        <v>21</v>
      </c>
    </row>
    <row r="650" spans="1:75" x14ac:dyDescent="0.25">
      <c r="A650" s="31"/>
      <c r="C650" s="32" t="s">
        <v>1198</v>
      </c>
      <c r="D650" s="32" t="s">
        <v>1190</v>
      </c>
      <c r="F650" s="33">
        <v>0.26495999999999997</v>
      </c>
      <c r="K650" s="34"/>
    </row>
    <row r="651" spans="1:75" ht="13.5" customHeight="1" x14ac:dyDescent="0.25">
      <c r="A651" s="2" t="s">
        <v>1199</v>
      </c>
      <c r="B651" s="3" t="s">
        <v>1149</v>
      </c>
      <c r="C651" s="83" t="s">
        <v>1200</v>
      </c>
      <c r="D651" s="80"/>
      <c r="E651" s="3" t="s">
        <v>71</v>
      </c>
      <c r="F651" s="28">
        <v>0.16739999999999999</v>
      </c>
      <c r="G651" s="28">
        <v>0</v>
      </c>
      <c r="H651" s="28">
        <f>F651*AO651</f>
        <v>0</v>
      </c>
      <c r="I651" s="28">
        <f>F651*AP651</f>
        <v>0</v>
      </c>
      <c r="J651" s="28">
        <f>F651*G651</f>
        <v>0</v>
      </c>
      <c r="K651" s="29" t="s">
        <v>61</v>
      </c>
      <c r="Z651" s="28">
        <f>IF(AQ651="5",BJ651,0)</f>
        <v>0</v>
      </c>
      <c r="AB651" s="28">
        <f>IF(AQ651="1",BH651,0)</f>
        <v>0</v>
      </c>
      <c r="AC651" s="28">
        <f>IF(AQ651="1",BI651,0)</f>
        <v>0</v>
      </c>
      <c r="AD651" s="28">
        <f>IF(AQ651="7",BH651,0)</f>
        <v>0</v>
      </c>
      <c r="AE651" s="28">
        <f>IF(AQ651="7",BI651,0)</f>
        <v>0</v>
      </c>
      <c r="AF651" s="28">
        <f>IF(AQ651="2",BH651,0)</f>
        <v>0</v>
      </c>
      <c r="AG651" s="28">
        <f>IF(AQ651="2",BI651,0)</f>
        <v>0</v>
      </c>
      <c r="AH651" s="28">
        <f>IF(AQ651="0",BJ651,0)</f>
        <v>0</v>
      </c>
      <c r="AI651" s="10" t="s">
        <v>236</v>
      </c>
      <c r="AJ651" s="28">
        <f>IF(AN651=0,J651,0)</f>
        <v>0</v>
      </c>
      <c r="AK651" s="28">
        <f>IF(AN651=12,J651,0)</f>
        <v>0</v>
      </c>
      <c r="AL651" s="28">
        <f>IF(AN651=21,J651,0)</f>
        <v>0</v>
      </c>
      <c r="AN651" s="28">
        <v>21</v>
      </c>
      <c r="AO651" s="28">
        <f>G651*1</f>
        <v>0</v>
      </c>
      <c r="AP651" s="28">
        <f>G651*(1-1)</f>
        <v>0</v>
      </c>
      <c r="AQ651" s="30" t="s">
        <v>98</v>
      </c>
      <c r="AV651" s="28">
        <f>AW651+AX651</f>
        <v>0</v>
      </c>
      <c r="AW651" s="28">
        <f>F651*AO651</f>
        <v>0</v>
      </c>
      <c r="AX651" s="28">
        <f>F651*AP651</f>
        <v>0</v>
      </c>
      <c r="AY651" s="30" t="s">
        <v>168</v>
      </c>
      <c r="AZ651" s="30" t="s">
        <v>876</v>
      </c>
      <c r="BA651" s="10" t="s">
        <v>242</v>
      </c>
      <c r="BC651" s="28">
        <f>AW651+AX651</f>
        <v>0</v>
      </c>
      <c r="BD651" s="28">
        <f>G651/(100-BE651)*100</f>
        <v>0</v>
      </c>
      <c r="BE651" s="28">
        <v>0</v>
      </c>
      <c r="BF651" s="28">
        <f>651</f>
        <v>651</v>
      </c>
      <c r="BH651" s="28">
        <f>F651*AO651</f>
        <v>0</v>
      </c>
      <c r="BI651" s="28">
        <f>F651*AP651</f>
        <v>0</v>
      </c>
      <c r="BJ651" s="28">
        <f>F651*G651</f>
        <v>0</v>
      </c>
      <c r="BK651" s="28"/>
      <c r="BL651" s="28">
        <v>767</v>
      </c>
      <c r="BW651" s="28">
        <v>21</v>
      </c>
    </row>
    <row r="652" spans="1:75" x14ac:dyDescent="0.25">
      <c r="A652" s="31"/>
      <c r="C652" s="32" t="s">
        <v>1201</v>
      </c>
      <c r="D652" s="32" t="s">
        <v>1192</v>
      </c>
      <c r="F652" s="33">
        <v>0.16739999999999999</v>
      </c>
      <c r="K652" s="34"/>
    </row>
    <row r="653" spans="1:75" ht="13.5" customHeight="1" x14ac:dyDescent="0.25">
      <c r="A653" s="2" t="s">
        <v>1202</v>
      </c>
      <c r="B653" s="3" t="s">
        <v>1119</v>
      </c>
      <c r="C653" s="83" t="s">
        <v>1203</v>
      </c>
      <c r="D653" s="80"/>
      <c r="E653" s="3" t="s">
        <v>975</v>
      </c>
      <c r="F653" s="28">
        <v>80.52</v>
      </c>
      <c r="G653" s="28">
        <v>0</v>
      </c>
      <c r="H653" s="28">
        <f>F653*AO653</f>
        <v>0</v>
      </c>
      <c r="I653" s="28">
        <f>F653*AP653</f>
        <v>0</v>
      </c>
      <c r="J653" s="28">
        <f>F653*G653</f>
        <v>0</v>
      </c>
      <c r="K653" s="29" t="s">
        <v>61</v>
      </c>
      <c r="Z653" s="28">
        <f>IF(AQ653="5",BJ653,0)</f>
        <v>0</v>
      </c>
      <c r="AB653" s="28">
        <f>IF(AQ653="1",BH653,0)</f>
        <v>0</v>
      </c>
      <c r="AC653" s="28">
        <f>IF(AQ653="1",BI653,0)</f>
        <v>0</v>
      </c>
      <c r="AD653" s="28">
        <f>IF(AQ653="7",BH653,0)</f>
        <v>0</v>
      </c>
      <c r="AE653" s="28">
        <f>IF(AQ653="7",BI653,0)</f>
        <v>0</v>
      </c>
      <c r="AF653" s="28">
        <f>IF(AQ653="2",BH653,0)</f>
        <v>0</v>
      </c>
      <c r="AG653" s="28">
        <f>IF(AQ653="2",BI653,0)</f>
        <v>0</v>
      </c>
      <c r="AH653" s="28">
        <f>IF(AQ653="0",BJ653,0)</f>
        <v>0</v>
      </c>
      <c r="AI653" s="10" t="s">
        <v>236</v>
      </c>
      <c r="AJ653" s="28">
        <f>IF(AN653=0,J653,0)</f>
        <v>0</v>
      </c>
      <c r="AK653" s="28">
        <f>IF(AN653=12,J653,0)</f>
        <v>0</v>
      </c>
      <c r="AL653" s="28">
        <f>IF(AN653=21,J653,0)</f>
        <v>0</v>
      </c>
      <c r="AN653" s="28">
        <v>21</v>
      </c>
      <c r="AO653" s="28">
        <f>G653*0.091253482</f>
        <v>0</v>
      </c>
      <c r="AP653" s="28">
        <f>G653*(1-0.091253482)</f>
        <v>0</v>
      </c>
      <c r="AQ653" s="30" t="s">
        <v>98</v>
      </c>
      <c r="AV653" s="28">
        <f>AW653+AX653</f>
        <v>0</v>
      </c>
      <c r="AW653" s="28">
        <f>F653*AO653</f>
        <v>0</v>
      </c>
      <c r="AX653" s="28">
        <f>F653*AP653</f>
        <v>0</v>
      </c>
      <c r="AY653" s="30" t="s">
        <v>168</v>
      </c>
      <c r="AZ653" s="30" t="s">
        <v>876</v>
      </c>
      <c r="BA653" s="10" t="s">
        <v>242</v>
      </c>
      <c r="BC653" s="28">
        <f>AW653+AX653</f>
        <v>0</v>
      </c>
      <c r="BD653" s="28">
        <f>G653/(100-BE653)*100</f>
        <v>0</v>
      </c>
      <c r="BE653" s="28">
        <v>0</v>
      </c>
      <c r="BF653" s="28">
        <f>653</f>
        <v>653</v>
      </c>
      <c r="BH653" s="28">
        <f>F653*AO653</f>
        <v>0</v>
      </c>
      <c r="BI653" s="28">
        <f>F653*AP653</f>
        <v>0</v>
      </c>
      <c r="BJ653" s="28">
        <f>F653*G653</f>
        <v>0</v>
      </c>
      <c r="BK653" s="28"/>
      <c r="BL653" s="28">
        <v>767</v>
      </c>
      <c r="BW653" s="28">
        <v>21</v>
      </c>
    </row>
    <row r="654" spans="1:75" x14ac:dyDescent="0.25">
      <c r="A654" s="31"/>
      <c r="C654" s="32" t="s">
        <v>1204</v>
      </c>
      <c r="D654" s="32" t="s">
        <v>1205</v>
      </c>
      <c r="F654" s="33">
        <v>17.100000000000001</v>
      </c>
      <c r="K654" s="34"/>
    </row>
    <row r="655" spans="1:75" x14ac:dyDescent="0.25">
      <c r="A655" s="31"/>
      <c r="C655" s="32" t="s">
        <v>1206</v>
      </c>
      <c r="D655" s="32" t="s">
        <v>1207</v>
      </c>
      <c r="F655" s="33">
        <v>63.42</v>
      </c>
      <c r="K655" s="34"/>
    </row>
    <row r="656" spans="1:75" ht="13.5" customHeight="1" x14ac:dyDescent="0.25">
      <c r="A656" s="2" t="s">
        <v>1208</v>
      </c>
      <c r="B656" s="3" t="s">
        <v>1149</v>
      </c>
      <c r="C656" s="83" t="s">
        <v>1209</v>
      </c>
      <c r="D656" s="80"/>
      <c r="E656" s="3" t="s">
        <v>71</v>
      </c>
      <c r="F656" s="28">
        <v>1.7440000000000001E-2</v>
      </c>
      <c r="G656" s="28">
        <v>0</v>
      </c>
      <c r="H656" s="28">
        <f>F656*AO656</f>
        <v>0</v>
      </c>
      <c r="I656" s="28">
        <f>F656*AP656</f>
        <v>0</v>
      </c>
      <c r="J656" s="28">
        <f>F656*G656</f>
        <v>0</v>
      </c>
      <c r="K656" s="29" t="s">
        <v>61</v>
      </c>
      <c r="Z656" s="28">
        <f>IF(AQ656="5",BJ656,0)</f>
        <v>0</v>
      </c>
      <c r="AB656" s="28">
        <f>IF(AQ656="1",BH656,0)</f>
        <v>0</v>
      </c>
      <c r="AC656" s="28">
        <f>IF(AQ656="1",BI656,0)</f>
        <v>0</v>
      </c>
      <c r="AD656" s="28">
        <f>IF(AQ656="7",BH656,0)</f>
        <v>0</v>
      </c>
      <c r="AE656" s="28">
        <f>IF(AQ656="7",BI656,0)</f>
        <v>0</v>
      </c>
      <c r="AF656" s="28">
        <f>IF(AQ656="2",BH656,0)</f>
        <v>0</v>
      </c>
      <c r="AG656" s="28">
        <f>IF(AQ656="2",BI656,0)</f>
        <v>0</v>
      </c>
      <c r="AH656" s="28">
        <f>IF(AQ656="0",BJ656,0)</f>
        <v>0</v>
      </c>
      <c r="AI656" s="10" t="s">
        <v>236</v>
      </c>
      <c r="AJ656" s="28">
        <f>IF(AN656=0,J656,0)</f>
        <v>0</v>
      </c>
      <c r="AK656" s="28">
        <f>IF(AN656=12,J656,0)</f>
        <v>0</v>
      </c>
      <c r="AL656" s="28">
        <f>IF(AN656=21,J656,0)</f>
        <v>0</v>
      </c>
      <c r="AN656" s="28">
        <v>21</v>
      </c>
      <c r="AO656" s="28">
        <f>G656*1</f>
        <v>0</v>
      </c>
      <c r="AP656" s="28">
        <f>G656*(1-1)</f>
        <v>0</v>
      </c>
      <c r="AQ656" s="30" t="s">
        <v>98</v>
      </c>
      <c r="AV656" s="28">
        <f>AW656+AX656</f>
        <v>0</v>
      </c>
      <c r="AW656" s="28">
        <f>F656*AO656</f>
        <v>0</v>
      </c>
      <c r="AX656" s="28">
        <f>F656*AP656</f>
        <v>0</v>
      </c>
      <c r="AY656" s="30" t="s">
        <v>168</v>
      </c>
      <c r="AZ656" s="30" t="s">
        <v>876</v>
      </c>
      <c r="BA656" s="10" t="s">
        <v>242</v>
      </c>
      <c r="BC656" s="28">
        <f>AW656+AX656</f>
        <v>0</v>
      </c>
      <c r="BD656" s="28">
        <f>G656/(100-BE656)*100</f>
        <v>0</v>
      </c>
      <c r="BE656" s="28">
        <v>0</v>
      </c>
      <c r="BF656" s="28">
        <f>656</f>
        <v>656</v>
      </c>
      <c r="BH656" s="28">
        <f>F656*AO656</f>
        <v>0</v>
      </c>
      <c r="BI656" s="28">
        <f>F656*AP656</f>
        <v>0</v>
      </c>
      <c r="BJ656" s="28">
        <f>F656*G656</f>
        <v>0</v>
      </c>
      <c r="BK656" s="28"/>
      <c r="BL656" s="28">
        <v>767</v>
      </c>
      <c r="BW656" s="28">
        <v>21</v>
      </c>
    </row>
    <row r="657" spans="1:75" x14ac:dyDescent="0.25">
      <c r="A657" s="31"/>
      <c r="C657" s="32" t="s">
        <v>1210</v>
      </c>
      <c r="D657" s="32" t="s">
        <v>1205</v>
      </c>
      <c r="F657" s="33">
        <v>1.7100000000000001E-2</v>
      </c>
      <c r="K657" s="34"/>
    </row>
    <row r="658" spans="1:75" x14ac:dyDescent="0.25">
      <c r="A658" s="31"/>
      <c r="C658" s="32" t="s">
        <v>1211</v>
      </c>
      <c r="D658" s="32" t="s">
        <v>52</v>
      </c>
      <c r="F658" s="33">
        <v>3.4000000000000002E-4</v>
      </c>
      <c r="K658" s="34"/>
    </row>
    <row r="659" spans="1:75" ht="13.5" customHeight="1" x14ac:dyDescent="0.25">
      <c r="A659" s="2" t="s">
        <v>1212</v>
      </c>
      <c r="B659" s="3" t="s">
        <v>1149</v>
      </c>
      <c r="C659" s="83" t="s">
        <v>1213</v>
      </c>
      <c r="D659" s="80"/>
      <c r="E659" s="3" t="s">
        <v>71</v>
      </c>
      <c r="F659" s="28">
        <v>6.4689999999999998E-2</v>
      </c>
      <c r="G659" s="28">
        <v>0</v>
      </c>
      <c r="H659" s="28">
        <f>F659*AO659</f>
        <v>0</v>
      </c>
      <c r="I659" s="28">
        <f>F659*AP659</f>
        <v>0</v>
      </c>
      <c r="J659" s="28">
        <f>F659*G659</f>
        <v>0</v>
      </c>
      <c r="K659" s="29" t="s">
        <v>61</v>
      </c>
      <c r="Z659" s="28">
        <f>IF(AQ659="5",BJ659,0)</f>
        <v>0</v>
      </c>
      <c r="AB659" s="28">
        <f>IF(AQ659="1",BH659,0)</f>
        <v>0</v>
      </c>
      <c r="AC659" s="28">
        <f>IF(AQ659="1",BI659,0)</f>
        <v>0</v>
      </c>
      <c r="AD659" s="28">
        <f>IF(AQ659="7",BH659,0)</f>
        <v>0</v>
      </c>
      <c r="AE659" s="28">
        <f>IF(AQ659="7",BI659,0)</f>
        <v>0</v>
      </c>
      <c r="AF659" s="28">
        <f>IF(AQ659="2",BH659,0)</f>
        <v>0</v>
      </c>
      <c r="AG659" s="28">
        <f>IF(AQ659="2",BI659,0)</f>
        <v>0</v>
      </c>
      <c r="AH659" s="28">
        <f>IF(AQ659="0",BJ659,0)</f>
        <v>0</v>
      </c>
      <c r="AI659" s="10" t="s">
        <v>236</v>
      </c>
      <c r="AJ659" s="28">
        <f>IF(AN659=0,J659,0)</f>
        <v>0</v>
      </c>
      <c r="AK659" s="28">
        <f>IF(AN659=12,J659,0)</f>
        <v>0</v>
      </c>
      <c r="AL659" s="28">
        <f>IF(AN659=21,J659,0)</f>
        <v>0</v>
      </c>
      <c r="AN659" s="28">
        <v>21</v>
      </c>
      <c r="AO659" s="28">
        <f>G659*1</f>
        <v>0</v>
      </c>
      <c r="AP659" s="28">
        <f>G659*(1-1)</f>
        <v>0</v>
      </c>
      <c r="AQ659" s="30" t="s">
        <v>98</v>
      </c>
      <c r="AV659" s="28">
        <f>AW659+AX659</f>
        <v>0</v>
      </c>
      <c r="AW659" s="28">
        <f>F659*AO659</f>
        <v>0</v>
      </c>
      <c r="AX659" s="28">
        <f>F659*AP659</f>
        <v>0</v>
      </c>
      <c r="AY659" s="30" t="s">
        <v>168</v>
      </c>
      <c r="AZ659" s="30" t="s">
        <v>876</v>
      </c>
      <c r="BA659" s="10" t="s">
        <v>242</v>
      </c>
      <c r="BC659" s="28">
        <f>AW659+AX659</f>
        <v>0</v>
      </c>
      <c r="BD659" s="28">
        <f>G659/(100-BE659)*100</f>
        <v>0</v>
      </c>
      <c r="BE659" s="28">
        <v>0</v>
      </c>
      <c r="BF659" s="28">
        <f>659</f>
        <v>659</v>
      </c>
      <c r="BH659" s="28">
        <f>F659*AO659</f>
        <v>0</v>
      </c>
      <c r="BI659" s="28">
        <f>F659*AP659</f>
        <v>0</v>
      </c>
      <c r="BJ659" s="28">
        <f>F659*G659</f>
        <v>0</v>
      </c>
      <c r="BK659" s="28"/>
      <c r="BL659" s="28">
        <v>767</v>
      </c>
      <c r="BW659" s="28">
        <v>21</v>
      </c>
    </row>
    <row r="660" spans="1:75" x14ac:dyDescent="0.25">
      <c r="A660" s="31"/>
      <c r="C660" s="32" t="s">
        <v>1214</v>
      </c>
      <c r="D660" s="32" t="s">
        <v>1207</v>
      </c>
      <c r="F660" s="33">
        <v>6.3420000000000004E-2</v>
      </c>
      <c r="K660" s="34"/>
    </row>
    <row r="661" spans="1:75" x14ac:dyDescent="0.25">
      <c r="A661" s="31"/>
      <c r="C661" s="32" t="s">
        <v>1215</v>
      </c>
      <c r="D661" s="32" t="s">
        <v>52</v>
      </c>
      <c r="F661" s="33">
        <v>1.2700000000000001E-3</v>
      </c>
      <c r="K661" s="34"/>
    </row>
    <row r="662" spans="1:75" ht="13.5" customHeight="1" x14ac:dyDescent="0.25">
      <c r="A662" s="2" t="s">
        <v>1216</v>
      </c>
      <c r="B662" s="3" t="s">
        <v>1217</v>
      </c>
      <c r="C662" s="83" t="s">
        <v>1218</v>
      </c>
      <c r="D662" s="80"/>
      <c r="E662" s="3" t="s">
        <v>137</v>
      </c>
      <c r="F662" s="28">
        <v>1</v>
      </c>
      <c r="G662" s="28">
        <v>0</v>
      </c>
      <c r="H662" s="28">
        <f>F662*AO662</f>
        <v>0</v>
      </c>
      <c r="I662" s="28">
        <f>F662*AP662</f>
        <v>0</v>
      </c>
      <c r="J662" s="28">
        <f>F662*G662</f>
        <v>0</v>
      </c>
      <c r="K662" s="29" t="s">
        <v>61</v>
      </c>
      <c r="Z662" s="28">
        <f>IF(AQ662="5",BJ662,0)</f>
        <v>0</v>
      </c>
      <c r="AB662" s="28">
        <f>IF(AQ662="1",BH662,0)</f>
        <v>0</v>
      </c>
      <c r="AC662" s="28">
        <f>IF(AQ662="1",BI662,0)</f>
        <v>0</v>
      </c>
      <c r="AD662" s="28">
        <f>IF(AQ662="7",BH662,0)</f>
        <v>0</v>
      </c>
      <c r="AE662" s="28">
        <f>IF(AQ662="7",BI662,0)</f>
        <v>0</v>
      </c>
      <c r="AF662" s="28">
        <f>IF(AQ662="2",BH662,0)</f>
        <v>0</v>
      </c>
      <c r="AG662" s="28">
        <f>IF(AQ662="2",BI662,0)</f>
        <v>0</v>
      </c>
      <c r="AH662" s="28">
        <f>IF(AQ662="0",BJ662,0)</f>
        <v>0</v>
      </c>
      <c r="AI662" s="10" t="s">
        <v>236</v>
      </c>
      <c r="AJ662" s="28">
        <f>IF(AN662=0,J662,0)</f>
        <v>0</v>
      </c>
      <c r="AK662" s="28">
        <f>IF(AN662=12,J662,0)</f>
        <v>0</v>
      </c>
      <c r="AL662" s="28">
        <f>IF(AN662=21,J662,0)</f>
        <v>0</v>
      </c>
      <c r="AN662" s="28">
        <v>21</v>
      </c>
      <c r="AO662" s="28">
        <f>G662*0.913385827</f>
        <v>0</v>
      </c>
      <c r="AP662" s="28">
        <f>G662*(1-0.913385827)</f>
        <v>0</v>
      </c>
      <c r="AQ662" s="30" t="s">
        <v>98</v>
      </c>
      <c r="AV662" s="28">
        <f>AW662+AX662</f>
        <v>0</v>
      </c>
      <c r="AW662" s="28">
        <f>F662*AO662</f>
        <v>0</v>
      </c>
      <c r="AX662" s="28">
        <f>F662*AP662</f>
        <v>0</v>
      </c>
      <c r="AY662" s="30" t="s">
        <v>168</v>
      </c>
      <c r="AZ662" s="30" t="s">
        <v>876</v>
      </c>
      <c r="BA662" s="10" t="s">
        <v>242</v>
      </c>
      <c r="BC662" s="28">
        <f>AW662+AX662</f>
        <v>0</v>
      </c>
      <c r="BD662" s="28">
        <f>G662/(100-BE662)*100</f>
        <v>0</v>
      </c>
      <c r="BE662" s="28">
        <v>0</v>
      </c>
      <c r="BF662" s="28">
        <f>662</f>
        <v>662</v>
      </c>
      <c r="BH662" s="28">
        <f>F662*AO662</f>
        <v>0</v>
      </c>
      <c r="BI662" s="28">
        <f>F662*AP662</f>
        <v>0</v>
      </c>
      <c r="BJ662" s="28">
        <f>F662*G662</f>
        <v>0</v>
      </c>
      <c r="BK662" s="28"/>
      <c r="BL662" s="28">
        <v>767</v>
      </c>
      <c r="BW662" s="28">
        <v>21</v>
      </c>
    </row>
    <row r="663" spans="1:75" ht="13.5" customHeight="1" x14ac:dyDescent="0.25">
      <c r="A663" s="2" t="s">
        <v>1219</v>
      </c>
      <c r="B663" s="3" t="s">
        <v>1220</v>
      </c>
      <c r="C663" s="83" t="s">
        <v>1221</v>
      </c>
      <c r="D663" s="80"/>
      <c r="E663" s="3" t="s">
        <v>78</v>
      </c>
      <c r="F663" s="28">
        <v>4</v>
      </c>
      <c r="G663" s="28">
        <v>0</v>
      </c>
      <c r="H663" s="28">
        <f>F663*AO663</f>
        <v>0</v>
      </c>
      <c r="I663" s="28">
        <f>F663*AP663</f>
        <v>0</v>
      </c>
      <c r="J663" s="28">
        <f>F663*G663</f>
        <v>0</v>
      </c>
      <c r="K663" s="29" t="s">
        <v>61</v>
      </c>
      <c r="Z663" s="28">
        <f>IF(AQ663="5",BJ663,0)</f>
        <v>0</v>
      </c>
      <c r="AB663" s="28">
        <f>IF(AQ663="1",BH663,0)</f>
        <v>0</v>
      </c>
      <c r="AC663" s="28">
        <f>IF(AQ663="1",BI663,0)</f>
        <v>0</v>
      </c>
      <c r="AD663" s="28">
        <f>IF(AQ663="7",BH663,0)</f>
        <v>0</v>
      </c>
      <c r="AE663" s="28">
        <f>IF(AQ663="7",BI663,0)</f>
        <v>0</v>
      </c>
      <c r="AF663" s="28">
        <f>IF(AQ663="2",BH663,0)</f>
        <v>0</v>
      </c>
      <c r="AG663" s="28">
        <f>IF(AQ663="2",BI663,0)</f>
        <v>0</v>
      </c>
      <c r="AH663" s="28">
        <f>IF(AQ663="0",BJ663,0)</f>
        <v>0</v>
      </c>
      <c r="AI663" s="10" t="s">
        <v>236</v>
      </c>
      <c r="AJ663" s="28">
        <f>IF(AN663=0,J663,0)</f>
        <v>0</v>
      </c>
      <c r="AK663" s="28">
        <f>IF(AN663=12,J663,0)</f>
        <v>0</v>
      </c>
      <c r="AL663" s="28">
        <f>IF(AN663=21,J663,0)</f>
        <v>0</v>
      </c>
      <c r="AN663" s="28">
        <v>21</v>
      </c>
      <c r="AO663" s="28">
        <f>G663*0.164537445</f>
        <v>0</v>
      </c>
      <c r="AP663" s="28">
        <f>G663*(1-0.164537445)</f>
        <v>0</v>
      </c>
      <c r="AQ663" s="30" t="s">
        <v>98</v>
      </c>
      <c r="AV663" s="28">
        <f>AW663+AX663</f>
        <v>0</v>
      </c>
      <c r="AW663" s="28">
        <f>F663*AO663</f>
        <v>0</v>
      </c>
      <c r="AX663" s="28">
        <f>F663*AP663</f>
        <v>0</v>
      </c>
      <c r="AY663" s="30" t="s">
        <v>168</v>
      </c>
      <c r="AZ663" s="30" t="s">
        <v>876</v>
      </c>
      <c r="BA663" s="10" t="s">
        <v>242</v>
      </c>
      <c r="BC663" s="28">
        <f>AW663+AX663</f>
        <v>0</v>
      </c>
      <c r="BD663" s="28">
        <f>G663/(100-BE663)*100</f>
        <v>0</v>
      </c>
      <c r="BE663" s="28">
        <v>0</v>
      </c>
      <c r="BF663" s="28">
        <f>663</f>
        <v>663</v>
      </c>
      <c r="BH663" s="28">
        <f>F663*AO663</f>
        <v>0</v>
      </c>
      <c r="BI663" s="28">
        <f>F663*AP663</f>
        <v>0</v>
      </c>
      <c r="BJ663" s="28">
        <f>F663*G663</f>
        <v>0</v>
      </c>
      <c r="BK663" s="28"/>
      <c r="BL663" s="28">
        <v>767</v>
      </c>
      <c r="BW663" s="28">
        <v>21</v>
      </c>
    </row>
    <row r="664" spans="1:75" x14ac:dyDescent="0.25">
      <c r="A664" s="31"/>
      <c r="C664" s="32" t="s">
        <v>84</v>
      </c>
      <c r="D664" s="32" t="s">
        <v>52</v>
      </c>
      <c r="F664" s="33">
        <v>4</v>
      </c>
      <c r="K664" s="34"/>
    </row>
    <row r="665" spans="1:75" ht="13.5" customHeight="1" x14ac:dyDescent="0.25">
      <c r="A665" s="2" t="s">
        <v>1222</v>
      </c>
      <c r="B665" s="3" t="s">
        <v>1223</v>
      </c>
      <c r="C665" s="83" t="s">
        <v>1224</v>
      </c>
      <c r="D665" s="80"/>
      <c r="E665" s="3" t="s">
        <v>71</v>
      </c>
      <c r="F665" s="28">
        <v>41.798349999999999</v>
      </c>
      <c r="G665" s="28">
        <v>0</v>
      </c>
      <c r="H665" s="28">
        <f>F665*AO665</f>
        <v>0</v>
      </c>
      <c r="I665" s="28">
        <f>F665*AP665</f>
        <v>0</v>
      </c>
      <c r="J665" s="28">
        <f>F665*G665</f>
        <v>0</v>
      </c>
      <c r="K665" s="29" t="s">
        <v>61</v>
      </c>
      <c r="Z665" s="28">
        <f>IF(AQ665="5",BJ665,0)</f>
        <v>0</v>
      </c>
      <c r="AB665" s="28">
        <f>IF(AQ665="1",BH665,0)</f>
        <v>0</v>
      </c>
      <c r="AC665" s="28">
        <f>IF(AQ665="1",BI665,0)</f>
        <v>0</v>
      </c>
      <c r="AD665" s="28">
        <f>IF(AQ665="7",BH665,0)</f>
        <v>0</v>
      </c>
      <c r="AE665" s="28">
        <f>IF(AQ665="7",BI665,0)</f>
        <v>0</v>
      </c>
      <c r="AF665" s="28">
        <f>IF(AQ665="2",BH665,0)</f>
        <v>0</v>
      </c>
      <c r="AG665" s="28">
        <f>IF(AQ665="2",BI665,0)</f>
        <v>0</v>
      </c>
      <c r="AH665" s="28">
        <f>IF(AQ665="0",BJ665,0)</f>
        <v>0</v>
      </c>
      <c r="AI665" s="10" t="s">
        <v>236</v>
      </c>
      <c r="AJ665" s="28">
        <f>IF(AN665=0,J665,0)</f>
        <v>0</v>
      </c>
      <c r="AK665" s="28">
        <f>IF(AN665=12,J665,0)</f>
        <v>0</v>
      </c>
      <c r="AL665" s="28">
        <f>IF(AN665=21,J665,0)</f>
        <v>0</v>
      </c>
      <c r="AN665" s="28">
        <v>21</v>
      </c>
      <c r="AO665" s="28">
        <f>G665*0</f>
        <v>0</v>
      </c>
      <c r="AP665" s="28">
        <f>G665*(1-0)</f>
        <v>0</v>
      </c>
      <c r="AQ665" s="30" t="s">
        <v>87</v>
      </c>
      <c r="AV665" s="28">
        <f>AW665+AX665</f>
        <v>0</v>
      </c>
      <c r="AW665" s="28">
        <f>F665*AO665</f>
        <v>0</v>
      </c>
      <c r="AX665" s="28">
        <f>F665*AP665</f>
        <v>0</v>
      </c>
      <c r="AY665" s="30" t="s">
        <v>168</v>
      </c>
      <c r="AZ665" s="30" t="s">
        <v>876</v>
      </c>
      <c r="BA665" s="10" t="s">
        <v>242</v>
      </c>
      <c r="BC665" s="28">
        <f>AW665+AX665</f>
        <v>0</v>
      </c>
      <c r="BD665" s="28">
        <f>G665/(100-BE665)*100</f>
        <v>0</v>
      </c>
      <c r="BE665" s="28">
        <v>0</v>
      </c>
      <c r="BF665" s="28">
        <f>665</f>
        <v>665</v>
      </c>
      <c r="BH665" s="28">
        <f>F665*AO665</f>
        <v>0</v>
      </c>
      <c r="BI665" s="28">
        <f>F665*AP665</f>
        <v>0</v>
      </c>
      <c r="BJ665" s="28">
        <f>F665*G665</f>
        <v>0</v>
      </c>
      <c r="BK665" s="28"/>
      <c r="BL665" s="28">
        <v>767</v>
      </c>
      <c r="BW665" s="28">
        <v>21</v>
      </c>
    </row>
    <row r="666" spans="1:75" x14ac:dyDescent="0.25">
      <c r="A666" s="24" t="s">
        <v>52</v>
      </c>
      <c r="B666" s="25" t="s">
        <v>1225</v>
      </c>
      <c r="C666" s="139" t="s">
        <v>1226</v>
      </c>
      <c r="D666" s="140"/>
      <c r="E666" s="26" t="s">
        <v>4</v>
      </c>
      <c r="F666" s="26" t="s">
        <v>4</v>
      </c>
      <c r="G666" s="26" t="s">
        <v>4</v>
      </c>
      <c r="H666" s="1">
        <f>SUM(H667:H681)</f>
        <v>0</v>
      </c>
      <c r="I666" s="1">
        <f>SUM(I667:I681)</f>
        <v>0</v>
      </c>
      <c r="J666" s="1">
        <f>SUM(J667:J681)</f>
        <v>0</v>
      </c>
      <c r="K666" s="27" t="s">
        <v>52</v>
      </c>
      <c r="AI666" s="10" t="s">
        <v>236</v>
      </c>
      <c r="AS666" s="1">
        <f>SUM(AJ667:AJ681)</f>
        <v>0</v>
      </c>
      <c r="AT666" s="1">
        <f>SUM(AK667:AK681)</f>
        <v>0</v>
      </c>
      <c r="AU666" s="1">
        <f>SUM(AL667:AL681)</f>
        <v>0</v>
      </c>
    </row>
    <row r="667" spans="1:75" ht="13.5" customHeight="1" x14ac:dyDescent="0.25">
      <c r="A667" s="2" t="s">
        <v>1227</v>
      </c>
      <c r="B667" s="3" t="s">
        <v>1228</v>
      </c>
      <c r="C667" s="83" t="s">
        <v>1229</v>
      </c>
      <c r="D667" s="80"/>
      <c r="E667" s="3" t="s">
        <v>78</v>
      </c>
      <c r="F667" s="28">
        <v>40.700000000000003</v>
      </c>
      <c r="G667" s="28">
        <v>0</v>
      </c>
      <c r="H667" s="28">
        <f>F667*AO667</f>
        <v>0</v>
      </c>
      <c r="I667" s="28">
        <f>F667*AP667</f>
        <v>0</v>
      </c>
      <c r="J667" s="28">
        <f>F667*G667</f>
        <v>0</v>
      </c>
      <c r="K667" s="29" t="s">
        <v>61</v>
      </c>
      <c r="Z667" s="28">
        <f>IF(AQ667="5",BJ667,0)</f>
        <v>0</v>
      </c>
      <c r="AB667" s="28">
        <f>IF(AQ667="1",BH667,0)</f>
        <v>0</v>
      </c>
      <c r="AC667" s="28">
        <f>IF(AQ667="1",BI667,0)</f>
        <v>0</v>
      </c>
      <c r="AD667" s="28">
        <f>IF(AQ667="7",BH667,0)</f>
        <v>0</v>
      </c>
      <c r="AE667" s="28">
        <f>IF(AQ667="7",BI667,0)</f>
        <v>0</v>
      </c>
      <c r="AF667" s="28">
        <f>IF(AQ667="2",BH667,0)</f>
        <v>0</v>
      </c>
      <c r="AG667" s="28">
        <f>IF(AQ667="2",BI667,0)</f>
        <v>0</v>
      </c>
      <c r="AH667" s="28">
        <f>IF(AQ667="0",BJ667,0)</f>
        <v>0</v>
      </c>
      <c r="AI667" s="10" t="s">
        <v>236</v>
      </c>
      <c r="AJ667" s="28">
        <f>IF(AN667=0,J667,0)</f>
        <v>0</v>
      </c>
      <c r="AK667" s="28">
        <f>IF(AN667=12,J667,0)</f>
        <v>0</v>
      </c>
      <c r="AL667" s="28">
        <f>IF(AN667=21,J667,0)</f>
        <v>0</v>
      </c>
      <c r="AN667" s="28">
        <v>21</v>
      </c>
      <c r="AO667" s="28">
        <f>G667*0.23133515</f>
        <v>0</v>
      </c>
      <c r="AP667" s="28">
        <f>G667*(1-0.23133515)</f>
        <v>0</v>
      </c>
      <c r="AQ667" s="30" t="s">
        <v>98</v>
      </c>
      <c r="AV667" s="28">
        <f>AW667+AX667</f>
        <v>0</v>
      </c>
      <c r="AW667" s="28">
        <f>F667*AO667</f>
        <v>0</v>
      </c>
      <c r="AX667" s="28">
        <f>F667*AP667</f>
        <v>0</v>
      </c>
      <c r="AY667" s="30" t="s">
        <v>1230</v>
      </c>
      <c r="AZ667" s="30" t="s">
        <v>1231</v>
      </c>
      <c r="BA667" s="10" t="s">
        <v>242</v>
      </c>
      <c r="BC667" s="28">
        <f>AW667+AX667</f>
        <v>0</v>
      </c>
      <c r="BD667" s="28">
        <f>G667/(100-BE667)*100</f>
        <v>0</v>
      </c>
      <c r="BE667" s="28">
        <v>0</v>
      </c>
      <c r="BF667" s="28">
        <f>667</f>
        <v>667</v>
      </c>
      <c r="BH667" s="28">
        <f>F667*AO667</f>
        <v>0</v>
      </c>
      <c r="BI667" s="28">
        <f>F667*AP667</f>
        <v>0</v>
      </c>
      <c r="BJ667" s="28">
        <f>F667*G667</f>
        <v>0</v>
      </c>
      <c r="BK667" s="28"/>
      <c r="BL667" s="28">
        <v>771</v>
      </c>
      <c r="BW667" s="28">
        <v>21</v>
      </c>
    </row>
    <row r="668" spans="1:75" x14ac:dyDescent="0.25">
      <c r="A668" s="31"/>
      <c r="C668" s="32" t="s">
        <v>1232</v>
      </c>
      <c r="D668" s="32" t="s">
        <v>1233</v>
      </c>
      <c r="F668" s="33">
        <v>40.700000000000003</v>
      </c>
      <c r="K668" s="34"/>
    </row>
    <row r="669" spans="1:75" ht="13.5" customHeight="1" x14ac:dyDescent="0.25">
      <c r="A669" s="2" t="s">
        <v>1234</v>
      </c>
      <c r="B669" s="3" t="s">
        <v>1235</v>
      </c>
      <c r="C669" s="83" t="s">
        <v>1236</v>
      </c>
      <c r="D669" s="80"/>
      <c r="E669" s="3" t="s">
        <v>148</v>
      </c>
      <c r="F669" s="28">
        <v>4</v>
      </c>
      <c r="G669" s="28">
        <v>0</v>
      </c>
      <c r="H669" s="28">
        <f>F669*AO669</f>
        <v>0</v>
      </c>
      <c r="I669" s="28">
        <f>F669*AP669</f>
        <v>0</v>
      </c>
      <c r="J669" s="28">
        <f>F669*G669</f>
        <v>0</v>
      </c>
      <c r="K669" s="29" t="s">
        <v>61</v>
      </c>
      <c r="Z669" s="28">
        <f>IF(AQ669="5",BJ669,0)</f>
        <v>0</v>
      </c>
      <c r="AB669" s="28">
        <f>IF(AQ669="1",BH669,0)</f>
        <v>0</v>
      </c>
      <c r="AC669" s="28">
        <f>IF(AQ669="1",BI669,0)</f>
        <v>0</v>
      </c>
      <c r="AD669" s="28">
        <f>IF(AQ669="7",BH669,0)</f>
        <v>0</v>
      </c>
      <c r="AE669" s="28">
        <f>IF(AQ669="7",BI669,0)</f>
        <v>0</v>
      </c>
      <c r="AF669" s="28">
        <f>IF(AQ669="2",BH669,0)</f>
        <v>0</v>
      </c>
      <c r="AG669" s="28">
        <f>IF(AQ669="2",BI669,0)</f>
        <v>0</v>
      </c>
      <c r="AH669" s="28">
        <f>IF(AQ669="0",BJ669,0)</f>
        <v>0</v>
      </c>
      <c r="AI669" s="10" t="s">
        <v>236</v>
      </c>
      <c r="AJ669" s="28">
        <f>IF(AN669=0,J669,0)</f>
        <v>0</v>
      </c>
      <c r="AK669" s="28">
        <f>IF(AN669=12,J669,0)</f>
        <v>0</v>
      </c>
      <c r="AL669" s="28">
        <f>IF(AN669=21,J669,0)</f>
        <v>0</v>
      </c>
      <c r="AN669" s="28">
        <v>21</v>
      </c>
      <c r="AO669" s="28">
        <f>G669*0</f>
        <v>0</v>
      </c>
      <c r="AP669" s="28">
        <f>G669*(1-0)</f>
        <v>0</v>
      </c>
      <c r="AQ669" s="30" t="s">
        <v>98</v>
      </c>
      <c r="AV669" s="28">
        <f>AW669+AX669</f>
        <v>0</v>
      </c>
      <c r="AW669" s="28">
        <f>F669*AO669</f>
        <v>0</v>
      </c>
      <c r="AX669" s="28">
        <f>F669*AP669</f>
        <v>0</v>
      </c>
      <c r="AY669" s="30" t="s">
        <v>1230</v>
      </c>
      <c r="AZ669" s="30" t="s">
        <v>1231</v>
      </c>
      <c r="BA669" s="10" t="s">
        <v>242</v>
      </c>
      <c r="BC669" s="28">
        <f>AW669+AX669</f>
        <v>0</v>
      </c>
      <c r="BD669" s="28">
        <f>G669/(100-BE669)*100</f>
        <v>0</v>
      </c>
      <c r="BE669" s="28">
        <v>0</v>
      </c>
      <c r="BF669" s="28">
        <f>669</f>
        <v>669</v>
      </c>
      <c r="BH669" s="28">
        <f>F669*AO669</f>
        <v>0</v>
      </c>
      <c r="BI669" s="28">
        <f>F669*AP669</f>
        <v>0</v>
      </c>
      <c r="BJ669" s="28">
        <f>F669*G669</f>
        <v>0</v>
      </c>
      <c r="BK669" s="28"/>
      <c r="BL669" s="28">
        <v>771</v>
      </c>
      <c r="BW669" s="28">
        <v>21</v>
      </c>
    </row>
    <row r="670" spans="1:75" x14ac:dyDescent="0.25">
      <c r="A670" s="31"/>
      <c r="C670" s="32" t="s">
        <v>68</v>
      </c>
      <c r="D670" s="32" t="s">
        <v>1237</v>
      </c>
      <c r="F670" s="33">
        <v>2</v>
      </c>
      <c r="K670" s="34"/>
    </row>
    <row r="671" spans="1:75" x14ac:dyDescent="0.25">
      <c r="A671" s="31"/>
      <c r="C671" s="32" t="s">
        <v>68</v>
      </c>
      <c r="D671" s="32" t="s">
        <v>1238</v>
      </c>
      <c r="F671" s="33">
        <v>2</v>
      </c>
      <c r="K671" s="34"/>
    </row>
    <row r="672" spans="1:75" ht="13.5" customHeight="1" x14ac:dyDescent="0.25">
      <c r="A672" s="2" t="s">
        <v>1239</v>
      </c>
      <c r="B672" s="3" t="s">
        <v>1240</v>
      </c>
      <c r="C672" s="83" t="s">
        <v>1241</v>
      </c>
      <c r="D672" s="80"/>
      <c r="E672" s="3" t="s">
        <v>148</v>
      </c>
      <c r="F672" s="28">
        <v>4</v>
      </c>
      <c r="G672" s="28">
        <v>0</v>
      </c>
      <c r="H672" s="28">
        <f>F672*AO672</f>
        <v>0</v>
      </c>
      <c r="I672" s="28">
        <f>F672*AP672</f>
        <v>0</v>
      </c>
      <c r="J672" s="28">
        <f>F672*G672</f>
        <v>0</v>
      </c>
      <c r="K672" s="29" t="s">
        <v>61</v>
      </c>
      <c r="Z672" s="28">
        <f>IF(AQ672="5",BJ672,0)</f>
        <v>0</v>
      </c>
      <c r="AB672" s="28">
        <f>IF(AQ672="1",BH672,0)</f>
        <v>0</v>
      </c>
      <c r="AC672" s="28">
        <f>IF(AQ672="1",BI672,0)</f>
        <v>0</v>
      </c>
      <c r="AD672" s="28">
        <f>IF(AQ672="7",BH672,0)</f>
        <v>0</v>
      </c>
      <c r="AE672" s="28">
        <f>IF(AQ672="7",BI672,0)</f>
        <v>0</v>
      </c>
      <c r="AF672" s="28">
        <f>IF(AQ672="2",BH672,0)</f>
        <v>0</v>
      </c>
      <c r="AG672" s="28">
        <f>IF(AQ672="2",BI672,0)</f>
        <v>0</v>
      </c>
      <c r="AH672" s="28">
        <f>IF(AQ672="0",BJ672,0)</f>
        <v>0</v>
      </c>
      <c r="AI672" s="10" t="s">
        <v>236</v>
      </c>
      <c r="AJ672" s="28">
        <f>IF(AN672=0,J672,0)</f>
        <v>0</v>
      </c>
      <c r="AK672" s="28">
        <f>IF(AN672=12,J672,0)</f>
        <v>0</v>
      </c>
      <c r="AL672" s="28">
        <f>IF(AN672=21,J672,0)</f>
        <v>0</v>
      </c>
      <c r="AN672" s="28">
        <v>21</v>
      </c>
      <c r="AO672" s="28">
        <f>G672*0</f>
        <v>0</v>
      </c>
      <c r="AP672" s="28">
        <f>G672*(1-0)</f>
        <v>0</v>
      </c>
      <c r="AQ672" s="30" t="s">
        <v>98</v>
      </c>
      <c r="AV672" s="28">
        <f>AW672+AX672</f>
        <v>0</v>
      </c>
      <c r="AW672" s="28">
        <f>F672*AO672</f>
        <v>0</v>
      </c>
      <c r="AX672" s="28">
        <f>F672*AP672</f>
        <v>0</v>
      </c>
      <c r="AY672" s="30" t="s">
        <v>1230</v>
      </c>
      <c r="AZ672" s="30" t="s">
        <v>1231</v>
      </c>
      <c r="BA672" s="10" t="s">
        <v>242</v>
      </c>
      <c r="BC672" s="28">
        <f>AW672+AX672</f>
        <v>0</v>
      </c>
      <c r="BD672" s="28">
        <f>G672/(100-BE672)*100</f>
        <v>0</v>
      </c>
      <c r="BE672" s="28">
        <v>0</v>
      </c>
      <c r="BF672" s="28">
        <f>672</f>
        <v>672</v>
      </c>
      <c r="BH672" s="28">
        <f>F672*AO672</f>
        <v>0</v>
      </c>
      <c r="BI672" s="28">
        <f>F672*AP672</f>
        <v>0</v>
      </c>
      <c r="BJ672" s="28">
        <f>F672*G672</f>
        <v>0</v>
      </c>
      <c r="BK672" s="28"/>
      <c r="BL672" s="28">
        <v>771</v>
      </c>
      <c r="BW672" s="28">
        <v>21</v>
      </c>
    </row>
    <row r="673" spans="1:75" x14ac:dyDescent="0.25">
      <c r="A673" s="31"/>
      <c r="C673" s="32" t="s">
        <v>68</v>
      </c>
      <c r="D673" s="32" t="s">
        <v>1237</v>
      </c>
      <c r="F673" s="33">
        <v>2</v>
      </c>
      <c r="K673" s="34"/>
    </row>
    <row r="674" spans="1:75" x14ac:dyDescent="0.25">
      <c r="A674" s="31"/>
      <c r="C674" s="32" t="s">
        <v>68</v>
      </c>
      <c r="D674" s="32" t="s">
        <v>1238</v>
      </c>
      <c r="F674" s="33">
        <v>2</v>
      </c>
      <c r="K674" s="34"/>
    </row>
    <row r="675" spans="1:75" ht="13.5" customHeight="1" x14ac:dyDescent="0.25">
      <c r="A675" s="2" t="s">
        <v>1242</v>
      </c>
      <c r="B675" s="3" t="s">
        <v>1243</v>
      </c>
      <c r="C675" s="83" t="s">
        <v>1244</v>
      </c>
      <c r="D675" s="80"/>
      <c r="E675" s="3" t="s">
        <v>148</v>
      </c>
      <c r="F675" s="28">
        <v>4.2</v>
      </c>
      <c r="G675" s="28">
        <v>0</v>
      </c>
      <c r="H675" s="28">
        <f>F675*AO675</f>
        <v>0</v>
      </c>
      <c r="I675" s="28">
        <f>F675*AP675</f>
        <v>0</v>
      </c>
      <c r="J675" s="28">
        <f>F675*G675</f>
        <v>0</v>
      </c>
      <c r="K675" s="29" t="s">
        <v>61</v>
      </c>
      <c r="Z675" s="28">
        <f>IF(AQ675="5",BJ675,0)</f>
        <v>0</v>
      </c>
      <c r="AB675" s="28">
        <f>IF(AQ675="1",BH675,0)</f>
        <v>0</v>
      </c>
      <c r="AC675" s="28">
        <f>IF(AQ675="1",BI675,0)</f>
        <v>0</v>
      </c>
      <c r="AD675" s="28">
        <f>IF(AQ675="7",BH675,0)</f>
        <v>0</v>
      </c>
      <c r="AE675" s="28">
        <f>IF(AQ675="7",BI675,0)</f>
        <v>0</v>
      </c>
      <c r="AF675" s="28">
        <f>IF(AQ675="2",BH675,0)</f>
        <v>0</v>
      </c>
      <c r="AG675" s="28">
        <f>IF(AQ675="2",BI675,0)</f>
        <v>0</v>
      </c>
      <c r="AH675" s="28">
        <f>IF(AQ675="0",BJ675,0)</f>
        <v>0</v>
      </c>
      <c r="AI675" s="10" t="s">
        <v>236</v>
      </c>
      <c r="AJ675" s="28">
        <f>IF(AN675=0,J675,0)</f>
        <v>0</v>
      </c>
      <c r="AK675" s="28">
        <f>IF(AN675=12,J675,0)</f>
        <v>0</v>
      </c>
      <c r="AL675" s="28">
        <f>IF(AN675=21,J675,0)</f>
        <v>0</v>
      </c>
      <c r="AN675" s="28">
        <v>21</v>
      </c>
      <c r="AO675" s="28">
        <f>G675*1</f>
        <v>0</v>
      </c>
      <c r="AP675" s="28">
        <f>G675*(1-1)</f>
        <v>0</v>
      </c>
      <c r="AQ675" s="30" t="s">
        <v>98</v>
      </c>
      <c r="AV675" s="28">
        <f>AW675+AX675</f>
        <v>0</v>
      </c>
      <c r="AW675" s="28">
        <f>F675*AO675</f>
        <v>0</v>
      </c>
      <c r="AX675" s="28">
        <f>F675*AP675</f>
        <v>0</v>
      </c>
      <c r="AY675" s="30" t="s">
        <v>1230</v>
      </c>
      <c r="AZ675" s="30" t="s">
        <v>1231</v>
      </c>
      <c r="BA675" s="10" t="s">
        <v>242</v>
      </c>
      <c r="BC675" s="28">
        <f>AW675+AX675</f>
        <v>0</v>
      </c>
      <c r="BD675" s="28">
        <f>G675/(100-BE675)*100</f>
        <v>0</v>
      </c>
      <c r="BE675" s="28">
        <v>0</v>
      </c>
      <c r="BF675" s="28">
        <f>675</f>
        <v>675</v>
      </c>
      <c r="BH675" s="28">
        <f>F675*AO675</f>
        <v>0</v>
      </c>
      <c r="BI675" s="28">
        <f>F675*AP675</f>
        <v>0</v>
      </c>
      <c r="BJ675" s="28">
        <f>F675*G675</f>
        <v>0</v>
      </c>
      <c r="BK675" s="28"/>
      <c r="BL675" s="28">
        <v>771</v>
      </c>
      <c r="BW675" s="28">
        <v>21</v>
      </c>
    </row>
    <row r="676" spans="1:75" x14ac:dyDescent="0.25">
      <c r="A676" s="31"/>
      <c r="C676" s="32" t="s">
        <v>84</v>
      </c>
      <c r="D676" s="32" t="s">
        <v>52</v>
      </c>
      <c r="F676" s="33">
        <v>4</v>
      </c>
      <c r="K676" s="34"/>
    </row>
    <row r="677" spans="1:75" x14ac:dyDescent="0.25">
      <c r="A677" s="31"/>
      <c r="C677" s="32" t="s">
        <v>1245</v>
      </c>
      <c r="D677" s="32" t="s">
        <v>52</v>
      </c>
      <c r="F677" s="33">
        <v>0.2</v>
      </c>
      <c r="K677" s="34"/>
    </row>
    <row r="678" spans="1:75" ht="13.5" customHeight="1" x14ac:dyDescent="0.25">
      <c r="A678" s="2" t="s">
        <v>1246</v>
      </c>
      <c r="B678" s="3" t="s">
        <v>1247</v>
      </c>
      <c r="C678" s="83" t="s">
        <v>1248</v>
      </c>
      <c r="D678" s="80"/>
      <c r="E678" s="3" t="s">
        <v>78</v>
      </c>
      <c r="F678" s="28">
        <v>8.6999999999999993</v>
      </c>
      <c r="G678" s="28">
        <v>0</v>
      </c>
      <c r="H678" s="28">
        <f>F678*AO678</f>
        <v>0</v>
      </c>
      <c r="I678" s="28">
        <f>F678*AP678</f>
        <v>0</v>
      </c>
      <c r="J678" s="28">
        <f>F678*G678</f>
        <v>0</v>
      </c>
      <c r="K678" s="29" t="s">
        <v>61</v>
      </c>
      <c r="Z678" s="28">
        <f>IF(AQ678="5",BJ678,0)</f>
        <v>0</v>
      </c>
      <c r="AB678" s="28">
        <f>IF(AQ678="1",BH678,0)</f>
        <v>0</v>
      </c>
      <c r="AC678" s="28">
        <f>IF(AQ678="1",BI678,0)</f>
        <v>0</v>
      </c>
      <c r="AD678" s="28">
        <f>IF(AQ678="7",BH678,0)</f>
        <v>0</v>
      </c>
      <c r="AE678" s="28">
        <f>IF(AQ678="7",BI678,0)</f>
        <v>0</v>
      </c>
      <c r="AF678" s="28">
        <f>IF(AQ678="2",BH678,0)</f>
        <v>0</v>
      </c>
      <c r="AG678" s="28">
        <f>IF(AQ678="2",BI678,0)</f>
        <v>0</v>
      </c>
      <c r="AH678" s="28">
        <f>IF(AQ678="0",BJ678,0)</f>
        <v>0</v>
      </c>
      <c r="AI678" s="10" t="s">
        <v>236</v>
      </c>
      <c r="AJ678" s="28">
        <f>IF(AN678=0,J678,0)</f>
        <v>0</v>
      </c>
      <c r="AK678" s="28">
        <f>IF(AN678=12,J678,0)</f>
        <v>0</v>
      </c>
      <c r="AL678" s="28">
        <f>IF(AN678=21,J678,0)</f>
        <v>0</v>
      </c>
      <c r="AN678" s="28">
        <v>21</v>
      </c>
      <c r="AO678" s="28">
        <f>G678*0.500126743</f>
        <v>0</v>
      </c>
      <c r="AP678" s="28">
        <f>G678*(1-0.500126743)</f>
        <v>0</v>
      </c>
      <c r="AQ678" s="30" t="s">
        <v>98</v>
      </c>
      <c r="AV678" s="28">
        <f>AW678+AX678</f>
        <v>0</v>
      </c>
      <c r="AW678" s="28">
        <f>F678*AO678</f>
        <v>0</v>
      </c>
      <c r="AX678" s="28">
        <f>F678*AP678</f>
        <v>0</v>
      </c>
      <c r="AY678" s="30" t="s">
        <v>1230</v>
      </c>
      <c r="AZ678" s="30" t="s">
        <v>1231</v>
      </c>
      <c r="BA678" s="10" t="s">
        <v>242</v>
      </c>
      <c r="BC678" s="28">
        <f>AW678+AX678</f>
        <v>0</v>
      </c>
      <c r="BD678" s="28">
        <f>G678/(100-BE678)*100</f>
        <v>0</v>
      </c>
      <c r="BE678" s="28">
        <v>0</v>
      </c>
      <c r="BF678" s="28">
        <f>678</f>
        <v>678</v>
      </c>
      <c r="BH678" s="28">
        <f>F678*AO678</f>
        <v>0</v>
      </c>
      <c r="BI678" s="28">
        <f>F678*AP678</f>
        <v>0</v>
      </c>
      <c r="BJ678" s="28">
        <f>F678*G678</f>
        <v>0</v>
      </c>
      <c r="BK678" s="28"/>
      <c r="BL678" s="28">
        <v>771</v>
      </c>
      <c r="BW678" s="28">
        <v>21</v>
      </c>
    </row>
    <row r="679" spans="1:75" x14ac:dyDescent="0.25">
      <c r="A679" s="31"/>
      <c r="C679" s="32" t="s">
        <v>1249</v>
      </c>
      <c r="D679" s="32" t="s">
        <v>52</v>
      </c>
      <c r="F679" s="33">
        <v>4</v>
      </c>
      <c r="K679" s="34"/>
    </row>
    <row r="680" spans="1:75" x14ac:dyDescent="0.25">
      <c r="A680" s="31"/>
      <c r="C680" s="32" t="s">
        <v>1250</v>
      </c>
      <c r="D680" s="32" t="s">
        <v>52</v>
      </c>
      <c r="F680" s="33">
        <v>4.7</v>
      </c>
      <c r="K680" s="34"/>
    </row>
    <row r="681" spans="1:75" ht="13.5" customHeight="1" x14ac:dyDescent="0.25">
      <c r="A681" s="2" t="s">
        <v>1251</v>
      </c>
      <c r="B681" s="3" t="s">
        <v>1252</v>
      </c>
      <c r="C681" s="83" t="s">
        <v>1253</v>
      </c>
      <c r="D681" s="80"/>
      <c r="E681" s="3" t="s">
        <v>71</v>
      </c>
      <c r="F681" s="28">
        <v>8.0990000000000006E-2</v>
      </c>
      <c r="G681" s="28">
        <v>0</v>
      </c>
      <c r="H681" s="28">
        <f>F681*AO681</f>
        <v>0</v>
      </c>
      <c r="I681" s="28">
        <f>F681*AP681</f>
        <v>0</v>
      </c>
      <c r="J681" s="28">
        <f>F681*G681</f>
        <v>0</v>
      </c>
      <c r="K681" s="29" t="s">
        <v>61</v>
      </c>
      <c r="Z681" s="28">
        <f>IF(AQ681="5",BJ681,0)</f>
        <v>0</v>
      </c>
      <c r="AB681" s="28">
        <f>IF(AQ681="1",BH681,0)</f>
        <v>0</v>
      </c>
      <c r="AC681" s="28">
        <f>IF(AQ681="1",BI681,0)</f>
        <v>0</v>
      </c>
      <c r="AD681" s="28">
        <f>IF(AQ681="7",BH681,0)</f>
        <v>0</v>
      </c>
      <c r="AE681" s="28">
        <f>IF(AQ681="7",BI681,0)</f>
        <v>0</v>
      </c>
      <c r="AF681" s="28">
        <f>IF(AQ681="2",BH681,0)</f>
        <v>0</v>
      </c>
      <c r="AG681" s="28">
        <f>IF(AQ681="2",BI681,0)</f>
        <v>0</v>
      </c>
      <c r="AH681" s="28">
        <f>IF(AQ681="0",BJ681,0)</f>
        <v>0</v>
      </c>
      <c r="AI681" s="10" t="s">
        <v>236</v>
      </c>
      <c r="AJ681" s="28">
        <f>IF(AN681=0,J681,0)</f>
        <v>0</v>
      </c>
      <c r="AK681" s="28">
        <f>IF(AN681=12,J681,0)</f>
        <v>0</v>
      </c>
      <c r="AL681" s="28">
        <f>IF(AN681=21,J681,0)</f>
        <v>0</v>
      </c>
      <c r="AN681" s="28">
        <v>21</v>
      </c>
      <c r="AO681" s="28">
        <f>G681*0</f>
        <v>0</v>
      </c>
      <c r="AP681" s="28">
        <f>G681*(1-0)</f>
        <v>0</v>
      </c>
      <c r="AQ681" s="30" t="s">
        <v>87</v>
      </c>
      <c r="AV681" s="28">
        <f>AW681+AX681</f>
        <v>0</v>
      </c>
      <c r="AW681" s="28">
        <f>F681*AO681</f>
        <v>0</v>
      </c>
      <c r="AX681" s="28">
        <f>F681*AP681</f>
        <v>0</v>
      </c>
      <c r="AY681" s="30" t="s">
        <v>1230</v>
      </c>
      <c r="AZ681" s="30" t="s">
        <v>1231</v>
      </c>
      <c r="BA681" s="10" t="s">
        <v>242</v>
      </c>
      <c r="BC681" s="28">
        <f>AW681+AX681</f>
        <v>0</v>
      </c>
      <c r="BD681" s="28">
        <f>G681/(100-BE681)*100</f>
        <v>0</v>
      </c>
      <c r="BE681" s="28">
        <v>0</v>
      </c>
      <c r="BF681" s="28">
        <f>681</f>
        <v>681</v>
      </c>
      <c r="BH681" s="28">
        <f>F681*AO681</f>
        <v>0</v>
      </c>
      <c r="BI681" s="28">
        <f>F681*AP681</f>
        <v>0</v>
      </c>
      <c r="BJ681" s="28">
        <f>F681*G681</f>
        <v>0</v>
      </c>
      <c r="BK681" s="28"/>
      <c r="BL681" s="28">
        <v>771</v>
      </c>
      <c r="BW681" s="28">
        <v>21</v>
      </c>
    </row>
    <row r="682" spans="1:75" x14ac:dyDescent="0.25">
      <c r="A682" s="24" t="s">
        <v>52</v>
      </c>
      <c r="B682" s="25" t="s">
        <v>1254</v>
      </c>
      <c r="C682" s="139" t="s">
        <v>1255</v>
      </c>
      <c r="D682" s="140"/>
      <c r="E682" s="26" t="s">
        <v>4</v>
      </c>
      <c r="F682" s="26" t="s">
        <v>4</v>
      </c>
      <c r="G682" s="26" t="s">
        <v>4</v>
      </c>
      <c r="H682" s="1">
        <f>SUM(H683:H683)</f>
        <v>0</v>
      </c>
      <c r="I682" s="1">
        <f>SUM(I683:I683)</f>
        <v>0</v>
      </c>
      <c r="J682" s="1">
        <f>SUM(J683:J683)</f>
        <v>0</v>
      </c>
      <c r="K682" s="27" t="s">
        <v>52</v>
      </c>
      <c r="AI682" s="10" t="s">
        <v>236</v>
      </c>
      <c r="AS682" s="1">
        <f>SUM(AJ683:AJ683)</f>
        <v>0</v>
      </c>
      <c r="AT682" s="1">
        <f>SUM(AK683:AK683)</f>
        <v>0</v>
      </c>
      <c r="AU682" s="1">
        <f>SUM(AL683:AL683)</f>
        <v>0</v>
      </c>
    </row>
    <row r="683" spans="1:75" ht="13.5" customHeight="1" x14ac:dyDescent="0.25">
      <c r="A683" s="2" t="s">
        <v>1256</v>
      </c>
      <c r="B683" s="3" t="s">
        <v>1257</v>
      </c>
      <c r="C683" s="83" t="s">
        <v>1258</v>
      </c>
      <c r="D683" s="80"/>
      <c r="E683" s="3" t="s">
        <v>148</v>
      </c>
      <c r="F683" s="28">
        <v>39.468000000000004</v>
      </c>
      <c r="G683" s="28">
        <v>0</v>
      </c>
      <c r="H683" s="28">
        <f>F683*AO683</f>
        <v>0</v>
      </c>
      <c r="I683" s="28">
        <f>F683*AP683</f>
        <v>0</v>
      </c>
      <c r="J683" s="28">
        <f>F683*G683</f>
        <v>0</v>
      </c>
      <c r="K683" s="29" t="s">
        <v>61</v>
      </c>
      <c r="Z683" s="28">
        <f>IF(AQ683="5",BJ683,0)</f>
        <v>0</v>
      </c>
      <c r="AB683" s="28">
        <f>IF(AQ683="1",BH683,0)</f>
        <v>0</v>
      </c>
      <c r="AC683" s="28">
        <f>IF(AQ683="1",BI683,0)</f>
        <v>0</v>
      </c>
      <c r="AD683" s="28">
        <f>IF(AQ683="7",BH683,0)</f>
        <v>0</v>
      </c>
      <c r="AE683" s="28">
        <f>IF(AQ683="7",BI683,0)</f>
        <v>0</v>
      </c>
      <c r="AF683" s="28">
        <f>IF(AQ683="2",BH683,0)</f>
        <v>0</v>
      </c>
      <c r="AG683" s="28">
        <f>IF(AQ683="2",BI683,0)</f>
        <v>0</v>
      </c>
      <c r="AH683" s="28">
        <f>IF(AQ683="0",BJ683,0)</f>
        <v>0</v>
      </c>
      <c r="AI683" s="10" t="s">
        <v>236</v>
      </c>
      <c r="AJ683" s="28">
        <f>IF(AN683=0,J683,0)</f>
        <v>0</v>
      </c>
      <c r="AK683" s="28">
        <f>IF(AN683=12,J683,0)</f>
        <v>0</v>
      </c>
      <c r="AL683" s="28">
        <f>IF(AN683=21,J683,0)</f>
        <v>0</v>
      </c>
      <c r="AN683" s="28">
        <v>21</v>
      </c>
      <c r="AO683" s="28">
        <f>G683*0.898563601</f>
        <v>0</v>
      </c>
      <c r="AP683" s="28">
        <f>G683*(1-0.898563601)</f>
        <v>0</v>
      </c>
      <c r="AQ683" s="30" t="s">
        <v>98</v>
      </c>
      <c r="AV683" s="28">
        <f>AW683+AX683</f>
        <v>0</v>
      </c>
      <c r="AW683" s="28">
        <f>F683*AO683</f>
        <v>0</v>
      </c>
      <c r="AX683" s="28">
        <f>F683*AP683</f>
        <v>0</v>
      </c>
      <c r="AY683" s="30" t="s">
        <v>1259</v>
      </c>
      <c r="AZ683" s="30" t="s">
        <v>1231</v>
      </c>
      <c r="BA683" s="10" t="s">
        <v>242</v>
      </c>
      <c r="BC683" s="28">
        <f>AW683+AX683</f>
        <v>0</v>
      </c>
      <c r="BD683" s="28">
        <f>G683/(100-BE683)*100</f>
        <v>0</v>
      </c>
      <c r="BE683" s="28">
        <v>0</v>
      </c>
      <c r="BF683" s="28">
        <f>683</f>
        <v>683</v>
      </c>
      <c r="BH683" s="28">
        <f>F683*AO683</f>
        <v>0</v>
      </c>
      <c r="BI683" s="28">
        <f>F683*AP683</f>
        <v>0</v>
      </c>
      <c r="BJ683" s="28">
        <f>F683*G683</f>
        <v>0</v>
      </c>
      <c r="BK683" s="28"/>
      <c r="BL683" s="28">
        <v>777</v>
      </c>
      <c r="BW683" s="28">
        <v>21</v>
      </c>
    </row>
    <row r="684" spans="1:75" x14ac:dyDescent="0.25">
      <c r="A684" s="31"/>
      <c r="C684" s="32" t="s">
        <v>1260</v>
      </c>
      <c r="D684" s="32" t="s">
        <v>52</v>
      </c>
      <c r="F684" s="33">
        <v>39.468000000000004</v>
      </c>
      <c r="K684" s="34"/>
    </row>
    <row r="685" spans="1:75" x14ac:dyDescent="0.25">
      <c r="A685" s="24" t="s">
        <v>52</v>
      </c>
      <c r="B685" s="25" t="s">
        <v>1261</v>
      </c>
      <c r="C685" s="139" t="s">
        <v>1262</v>
      </c>
      <c r="D685" s="140"/>
      <c r="E685" s="26" t="s">
        <v>4</v>
      </c>
      <c r="F685" s="26" t="s">
        <v>4</v>
      </c>
      <c r="G685" s="26" t="s">
        <v>4</v>
      </c>
      <c r="H685" s="1">
        <f>SUM(H686:H729)</f>
        <v>0</v>
      </c>
      <c r="I685" s="1">
        <f>SUM(I686:I729)</f>
        <v>0</v>
      </c>
      <c r="J685" s="1">
        <f>SUM(J686:J729)</f>
        <v>0</v>
      </c>
      <c r="K685" s="27" t="s">
        <v>52</v>
      </c>
      <c r="AI685" s="10" t="s">
        <v>236</v>
      </c>
      <c r="AS685" s="1">
        <f>SUM(AJ686:AJ729)</f>
        <v>0</v>
      </c>
      <c r="AT685" s="1">
        <f>SUM(AK686:AK729)</f>
        <v>0</v>
      </c>
      <c r="AU685" s="1">
        <f>SUM(AL686:AL729)</f>
        <v>0</v>
      </c>
    </row>
    <row r="686" spans="1:75" ht="13.5" customHeight="1" x14ac:dyDescent="0.25">
      <c r="A686" s="2" t="s">
        <v>1263</v>
      </c>
      <c r="B686" s="3" t="s">
        <v>1264</v>
      </c>
      <c r="C686" s="83" t="s">
        <v>1265</v>
      </c>
      <c r="D686" s="80"/>
      <c r="E686" s="3" t="s">
        <v>148</v>
      </c>
      <c r="F686" s="28">
        <v>16.38</v>
      </c>
      <c r="G686" s="28">
        <v>0</v>
      </c>
      <c r="H686" s="28">
        <f>F686*AO686</f>
        <v>0</v>
      </c>
      <c r="I686" s="28">
        <f>F686*AP686</f>
        <v>0</v>
      </c>
      <c r="J686" s="28">
        <f>F686*G686</f>
        <v>0</v>
      </c>
      <c r="K686" s="29" t="s">
        <v>61</v>
      </c>
      <c r="Z686" s="28">
        <f>IF(AQ686="5",BJ686,0)</f>
        <v>0</v>
      </c>
      <c r="AB686" s="28">
        <f>IF(AQ686="1",BH686,0)</f>
        <v>0</v>
      </c>
      <c r="AC686" s="28">
        <f>IF(AQ686="1",BI686,0)</f>
        <v>0</v>
      </c>
      <c r="AD686" s="28">
        <f>IF(AQ686="7",BH686,0)</f>
        <v>0</v>
      </c>
      <c r="AE686" s="28">
        <f>IF(AQ686="7",BI686,0)</f>
        <v>0</v>
      </c>
      <c r="AF686" s="28">
        <f>IF(AQ686="2",BH686,0)</f>
        <v>0</v>
      </c>
      <c r="AG686" s="28">
        <f>IF(AQ686="2",BI686,0)</f>
        <v>0</v>
      </c>
      <c r="AH686" s="28">
        <f>IF(AQ686="0",BJ686,0)</f>
        <v>0</v>
      </c>
      <c r="AI686" s="10" t="s">
        <v>236</v>
      </c>
      <c r="AJ686" s="28">
        <f>IF(AN686=0,J686,0)</f>
        <v>0</v>
      </c>
      <c r="AK686" s="28">
        <f>IF(AN686=12,J686,0)</f>
        <v>0</v>
      </c>
      <c r="AL686" s="28">
        <f>IF(AN686=21,J686,0)</f>
        <v>0</v>
      </c>
      <c r="AN686" s="28">
        <v>21</v>
      </c>
      <c r="AO686" s="28">
        <f>G686*0.477366573</f>
        <v>0</v>
      </c>
      <c r="AP686" s="28">
        <f>G686*(1-0.477366573)</f>
        <v>0</v>
      </c>
      <c r="AQ686" s="30" t="s">
        <v>98</v>
      </c>
      <c r="AV686" s="28">
        <f>AW686+AX686</f>
        <v>0</v>
      </c>
      <c r="AW686" s="28">
        <f>F686*AO686</f>
        <v>0</v>
      </c>
      <c r="AX686" s="28">
        <f>F686*AP686</f>
        <v>0</v>
      </c>
      <c r="AY686" s="30" t="s">
        <v>1266</v>
      </c>
      <c r="AZ686" s="30" t="s">
        <v>1267</v>
      </c>
      <c r="BA686" s="10" t="s">
        <v>242</v>
      </c>
      <c r="BC686" s="28">
        <f>AW686+AX686</f>
        <v>0</v>
      </c>
      <c r="BD686" s="28">
        <f>G686/(100-BE686)*100</f>
        <v>0</v>
      </c>
      <c r="BE686" s="28">
        <v>0</v>
      </c>
      <c r="BF686" s="28">
        <f>686</f>
        <v>686</v>
      </c>
      <c r="BH686" s="28">
        <f>F686*AO686</f>
        <v>0</v>
      </c>
      <c r="BI686" s="28">
        <f>F686*AP686</f>
        <v>0</v>
      </c>
      <c r="BJ686" s="28">
        <f>F686*G686</f>
        <v>0</v>
      </c>
      <c r="BK686" s="28"/>
      <c r="BL686" s="28">
        <v>781</v>
      </c>
      <c r="BW686" s="28">
        <v>21</v>
      </c>
    </row>
    <row r="687" spans="1:75" x14ac:dyDescent="0.25">
      <c r="A687" s="31"/>
      <c r="C687" s="32" t="s">
        <v>1268</v>
      </c>
      <c r="D687" s="32" t="s">
        <v>1269</v>
      </c>
      <c r="F687" s="33">
        <v>3.6749999999999998</v>
      </c>
      <c r="K687" s="34"/>
    </row>
    <row r="688" spans="1:75" x14ac:dyDescent="0.25">
      <c r="A688" s="31"/>
      <c r="C688" s="32" t="s">
        <v>1270</v>
      </c>
      <c r="D688" s="32" t="s">
        <v>52</v>
      </c>
      <c r="F688" s="33">
        <v>1.9950000000000001</v>
      </c>
      <c r="K688" s="34"/>
    </row>
    <row r="689" spans="1:75" x14ac:dyDescent="0.25">
      <c r="A689" s="31"/>
      <c r="C689" s="32" t="s">
        <v>1268</v>
      </c>
      <c r="D689" s="32" t="s">
        <v>52</v>
      </c>
      <c r="F689" s="33">
        <v>3.6749999999999998</v>
      </c>
      <c r="K689" s="34"/>
    </row>
    <row r="690" spans="1:75" x14ac:dyDescent="0.25">
      <c r="A690" s="31"/>
      <c r="C690" s="32" t="s">
        <v>1271</v>
      </c>
      <c r="D690" s="32" t="s">
        <v>52</v>
      </c>
      <c r="F690" s="33">
        <v>2.1</v>
      </c>
      <c r="K690" s="34"/>
    </row>
    <row r="691" spans="1:75" x14ac:dyDescent="0.25">
      <c r="A691" s="31"/>
      <c r="C691" s="32" t="s">
        <v>1272</v>
      </c>
      <c r="D691" s="32" t="s">
        <v>52</v>
      </c>
      <c r="F691" s="33">
        <v>0.42</v>
      </c>
      <c r="K691" s="34"/>
    </row>
    <row r="692" spans="1:75" x14ac:dyDescent="0.25">
      <c r="A692" s="31"/>
      <c r="C692" s="32" t="s">
        <v>1271</v>
      </c>
      <c r="D692" s="32" t="s">
        <v>52</v>
      </c>
      <c r="F692" s="33">
        <v>2.1</v>
      </c>
      <c r="K692" s="34"/>
    </row>
    <row r="693" spans="1:75" x14ac:dyDescent="0.25">
      <c r="A693" s="31"/>
      <c r="C693" s="32" t="s">
        <v>1272</v>
      </c>
      <c r="D693" s="32" t="s">
        <v>52</v>
      </c>
      <c r="F693" s="33">
        <v>0.42</v>
      </c>
      <c r="K693" s="34"/>
    </row>
    <row r="694" spans="1:75" x14ac:dyDescent="0.25">
      <c r="A694" s="31"/>
      <c r="C694" s="32" t="s">
        <v>1270</v>
      </c>
      <c r="D694" s="32" t="s">
        <v>1273</v>
      </c>
      <c r="F694" s="33">
        <v>1.9950000000000001</v>
      </c>
      <c r="K694" s="34"/>
    </row>
    <row r="695" spans="1:75" ht="13.5" customHeight="1" x14ac:dyDescent="0.25">
      <c r="A695" s="2" t="s">
        <v>1274</v>
      </c>
      <c r="B695" s="3" t="s">
        <v>1275</v>
      </c>
      <c r="C695" s="83" t="s">
        <v>1276</v>
      </c>
      <c r="D695" s="80"/>
      <c r="E695" s="3" t="s">
        <v>148</v>
      </c>
      <c r="F695" s="28">
        <v>16.38</v>
      </c>
      <c r="G695" s="28">
        <v>0</v>
      </c>
      <c r="H695" s="28">
        <f>F695*AO695</f>
        <v>0</v>
      </c>
      <c r="I695" s="28">
        <f>F695*AP695</f>
        <v>0</v>
      </c>
      <c r="J695" s="28">
        <f>F695*G695</f>
        <v>0</v>
      </c>
      <c r="K695" s="29" t="s">
        <v>61</v>
      </c>
      <c r="Z695" s="28">
        <f>IF(AQ695="5",BJ695,0)</f>
        <v>0</v>
      </c>
      <c r="AB695" s="28">
        <f>IF(AQ695="1",BH695,0)</f>
        <v>0</v>
      </c>
      <c r="AC695" s="28">
        <f>IF(AQ695="1",BI695,0)</f>
        <v>0</v>
      </c>
      <c r="AD695" s="28">
        <f>IF(AQ695="7",BH695,0)</f>
        <v>0</v>
      </c>
      <c r="AE695" s="28">
        <f>IF(AQ695="7",BI695,0)</f>
        <v>0</v>
      </c>
      <c r="AF695" s="28">
        <f>IF(AQ695="2",BH695,0)</f>
        <v>0</v>
      </c>
      <c r="AG695" s="28">
        <f>IF(AQ695="2",BI695,0)</f>
        <v>0</v>
      </c>
      <c r="AH695" s="28">
        <f>IF(AQ695="0",BJ695,0)</f>
        <v>0</v>
      </c>
      <c r="AI695" s="10" t="s">
        <v>236</v>
      </c>
      <c r="AJ695" s="28">
        <f>IF(AN695=0,J695,0)</f>
        <v>0</v>
      </c>
      <c r="AK695" s="28">
        <f>IF(AN695=12,J695,0)</f>
        <v>0</v>
      </c>
      <c r="AL695" s="28">
        <f>IF(AN695=21,J695,0)</f>
        <v>0</v>
      </c>
      <c r="AN695" s="28">
        <v>21</v>
      </c>
      <c r="AO695" s="28">
        <f>G695*0</f>
        <v>0</v>
      </c>
      <c r="AP695" s="28">
        <f>G695*(1-0)</f>
        <v>0</v>
      </c>
      <c r="AQ695" s="30" t="s">
        <v>98</v>
      </c>
      <c r="AV695" s="28">
        <f>AW695+AX695</f>
        <v>0</v>
      </c>
      <c r="AW695" s="28">
        <f>F695*AO695</f>
        <v>0</v>
      </c>
      <c r="AX695" s="28">
        <f>F695*AP695</f>
        <v>0</v>
      </c>
      <c r="AY695" s="30" t="s">
        <v>1266</v>
      </c>
      <c r="AZ695" s="30" t="s">
        <v>1267</v>
      </c>
      <c r="BA695" s="10" t="s">
        <v>242</v>
      </c>
      <c r="BC695" s="28">
        <f>AW695+AX695</f>
        <v>0</v>
      </c>
      <c r="BD695" s="28">
        <f>G695/(100-BE695)*100</f>
        <v>0</v>
      </c>
      <c r="BE695" s="28">
        <v>0</v>
      </c>
      <c r="BF695" s="28">
        <f>695</f>
        <v>695</v>
      </c>
      <c r="BH695" s="28">
        <f>F695*AO695</f>
        <v>0</v>
      </c>
      <c r="BI695" s="28">
        <f>F695*AP695</f>
        <v>0</v>
      </c>
      <c r="BJ695" s="28">
        <f>F695*G695</f>
        <v>0</v>
      </c>
      <c r="BK695" s="28"/>
      <c r="BL695" s="28">
        <v>781</v>
      </c>
      <c r="BW695" s="28">
        <v>21</v>
      </c>
    </row>
    <row r="696" spans="1:75" x14ac:dyDescent="0.25">
      <c r="A696" s="31"/>
      <c r="C696" s="32" t="s">
        <v>1268</v>
      </c>
      <c r="D696" s="32" t="s">
        <v>1269</v>
      </c>
      <c r="F696" s="33">
        <v>3.6749999999999998</v>
      </c>
      <c r="K696" s="34"/>
    </row>
    <row r="697" spans="1:75" x14ac:dyDescent="0.25">
      <c r="A697" s="31"/>
      <c r="C697" s="32" t="s">
        <v>1270</v>
      </c>
      <c r="D697" s="32" t="s">
        <v>52</v>
      </c>
      <c r="F697" s="33">
        <v>1.9950000000000001</v>
      </c>
      <c r="K697" s="34"/>
    </row>
    <row r="698" spans="1:75" x14ac:dyDescent="0.25">
      <c r="A698" s="31"/>
      <c r="C698" s="32" t="s">
        <v>1271</v>
      </c>
      <c r="D698" s="32" t="s">
        <v>52</v>
      </c>
      <c r="F698" s="33">
        <v>2.1</v>
      </c>
      <c r="K698" s="34"/>
    </row>
    <row r="699" spans="1:75" x14ac:dyDescent="0.25">
      <c r="A699" s="31"/>
      <c r="C699" s="32" t="s">
        <v>1272</v>
      </c>
      <c r="D699" s="32" t="s">
        <v>52</v>
      </c>
      <c r="F699" s="33">
        <v>0.42</v>
      </c>
      <c r="K699" s="34"/>
    </row>
    <row r="700" spans="1:75" x14ac:dyDescent="0.25">
      <c r="A700" s="31"/>
      <c r="C700" s="32" t="s">
        <v>1270</v>
      </c>
      <c r="D700" s="32" t="s">
        <v>1273</v>
      </c>
      <c r="F700" s="33">
        <v>1.9950000000000001</v>
      </c>
      <c r="K700" s="34"/>
    </row>
    <row r="701" spans="1:75" x14ac:dyDescent="0.25">
      <c r="A701" s="31"/>
      <c r="C701" s="32" t="s">
        <v>1268</v>
      </c>
      <c r="D701" s="32" t="s">
        <v>52</v>
      </c>
      <c r="F701" s="33">
        <v>3.6749999999999998</v>
      </c>
      <c r="K701" s="34"/>
    </row>
    <row r="702" spans="1:75" x14ac:dyDescent="0.25">
      <c r="A702" s="31"/>
      <c r="C702" s="32" t="s">
        <v>1271</v>
      </c>
      <c r="D702" s="32" t="s">
        <v>52</v>
      </c>
      <c r="F702" s="33">
        <v>2.1</v>
      </c>
      <c r="K702" s="34"/>
    </row>
    <row r="703" spans="1:75" x14ac:dyDescent="0.25">
      <c r="A703" s="31"/>
      <c r="C703" s="32" t="s">
        <v>1272</v>
      </c>
      <c r="D703" s="32" t="s">
        <v>52</v>
      </c>
      <c r="F703" s="33">
        <v>0.42</v>
      </c>
      <c r="K703" s="34"/>
    </row>
    <row r="704" spans="1:75" ht="13.5" customHeight="1" x14ac:dyDescent="0.25">
      <c r="A704" s="2" t="s">
        <v>1277</v>
      </c>
      <c r="B704" s="3" t="s">
        <v>1278</v>
      </c>
      <c r="C704" s="83" t="s">
        <v>1279</v>
      </c>
      <c r="D704" s="80"/>
      <c r="E704" s="3" t="s">
        <v>975</v>
      </c>
      <c r="F704" s="28">
        <v>16.905000000000001</v>
      </c>
      <c r="G704" s="28">
        <v>0</v>
      </c>
      <c r="H704" s="28">
        <f>F704*AO704</f>
        <v>0</v>
      </c>
      <c r="I704" s="28">
        <f>F704*AP704</f>
        <v>0</v>
      </c>
      <c r="J704" s="28">
        <f>F704*G704</f>
        <v>0</v>
      </c>
      <c r="K704" s="29" t="s">
        <v>61</v>
      </c>
      <c r="Z704" s="28">
        <f>IF(AQ704="5",BJ704,0)</f>
        <v>0</v>
      </c>
      <c r="AB704" s="28">
        <f>IF(AQ704="1",BH704,0)</f>
        <v>0</v>
      </c>
      <c r="AC704" s="28">
        <f>IF(AQ704="1",BI704,0)</f>
        <v>0</v>
      </c>
      <c r="AD704" s="28">
        <f>IF(AQ704="7",BH704,0)</f>
        <v>0</v>
      </c>
      <c r="AE704" s="28">
        <f>IF(AQ704="7",BI704,0)</f>
        <v>0</v>
      </c>
      <c r="AF704" s="28">
        <f>IF(AQ704="2",BH704,0)</f>
        <v>0</v>
      </c>
      <c r="AG704" s="28">
        <f>IF(AQ704="2",BI704,0)</f>
        <v>0</v>
      </c>
      <c r="AH704" s="28">
        <f>IF(AQ704="0",BJ704,0)</f>
        <v>0</v>
      </c>
      <c r="AI704" s="10" t="s">
        <v>236</v>
      </c>
      <c r="AJ704" s="28">
        <f>IF(AN704=0,J704,0)</f>
        <v>0</v>
      </c>
      <c r="AK704" s="28">
        <f>IF(AN704=12,J704,0)</f>
        <v>0</v>
      </c>
      <c r="AL704" s="28">
        <f>IF(AN704=21,J704,0)</f>
        <v>0</v>
      </c>
      <c r="AN704" s="28">
        <v>21</v>
      </c>
      <c r="AO704" s="28">
        <f>G704*1</f>
        <v>0</v>
      </c>
      <c r="AP704" s="28">
        <f>G704*(1-1)</f>
        <v>0</v>
      </c>
      <c r="AQ704" s="30" t="s">
        <v>98</v>
      </c>
      <c r="AV704" s="28">
        <f>AW704+AX704</f>
        <v>0</v>
      </c>
      <c r="AW704" s="28">
        <f>F704*AO704</f>
        <v>0</v>
      </c>
      <c r="AX704" s="28">
        <f>F704*AP704</f>
        <v>0</v>
      </c>
      <c r="AY704" s="30" t="s">
        <v>1266</v>
      </c>
      <c r="AZ704" s="30" t="s">
        <v>1267</v>
      </c>
      <c r="BA704" s="10" t="s">
        <v>242</v>
      </c>
      <c r="BC704" s="28">
        <f>AW704+AX704</f>
        <v>0</v>
      </c>
      <c r="BD704" s="28">
        <f>G704/(100-BE704)*100</f>
        <v>0</v>
      </c>
      <c r="BE704" s="28">
        <v>0</v>
      </c>
      <c r="BF704" s="28">
        <f>704</f>
        <v>704</v>
      </c>
      <c r="BH704" s="28">
        <f>F704*AO704</f>
        <v>0</v>
      </c>
      <c r="BI704" s="28">
        <f>F704*AP704</f>
        <v>0</v>
      </c>
      <c r="BJ704" s="28">
        <f>F704*G704</f>
        <v>0</v>
      </c>
      <c r="BK704" s="28"/>
      <c r="BL704" s="28">
        <v>781</v>
      </c>
      <c r="BW704" s="28">
        <v>21</v>
      </c>
    </row>
    <row r="705" spans="1:75" x14ac:dyDescent="0.25">
      <c r="A705" s="31"/>
      <c r="C705" s="32" t="s">
        <v>1280</v>
      </c>
      <c r="D705" s="32" t="s">
        <v>52</v>
      </c>
      <c r="F705" s="33">
        <v>16.100000000000001</v>
      </c>
      <c r="K705" s="34"/>
    </row>
    <row r="706" spans="1:75" x14ac:dyDescent="0.25">
      <c r="A706" s="31"/>
      <c r="C706" s="32" t="s">
        <v>1281</v>
      </c>
      <c r="D706" s="32" t="s">
        <v>52</v>
      </c>
      <c r="F706" s="33">
        <v>0.80500000000000005</v>
      </c>
      <c r="K706" s="34"/>
    </row>
    <row r="707" spans="1:75" ht="13.5" customHeight="1" x14ac:dyDescent="0.25">
      <c r="A707" s="2" t="s">
        <v>1282</v>
      </c>
      <c r="B707" s="3" t="s">
        <v>1283</v>
      </c>
      <c r="C707" s="83" t="s">
        <v>1284</v>
      </c>
      <c r="D707" s="80"/>
      <c r="E707" s="3" t="s">
        <v>148</v>
      </c>
      <c r="F707" s="28">
        <v>16.38</v>
      </c>
      <c r="G707" s="28">
        <v>0</v>
      </c>
      <c r="H707" s="28">
        <f>F707*AO707</f>
        <v>0</v>
      </c>
      <c r="I707" s="28">
        <f>F707*AP707</f>
        <v>0</v>
      </c>
      <c r="J707" s="28">
        <f>F707*G707</f>
        <v>0</v>
      </c>
      <c r="K707" s="29" t="s">
        <v>61</v>
      </c>
      <c r="Z707" s="28">
        <f>IF(AQ707="5",BJ707,0)</f>
        <v>0</v>
      </c>
      <c r="AB707" s="28">
        <f>IF(AQ707="1",BH707,0)</f>
        <v>0</v>
      </c>
      <c r="AC707" s="28">
        <f>IF(AQ707="1",BI707,0)</f>
        <v>0</v>
      </c>
      <c r="AD707" s="28">
        <f>IF(AQ707="7",BH707,0)</f>
        <v>0</v>
      </c>
      <c r="AE707" s="28">
        <f>IF(AQ707="7",BI707,0)</f>
        <v>0</v>
      </c>
      <c r="AF707" s="28">
        <f>IF(AQ707="2",BH707,0)</f>
        <v>0</v>
      </c>
      <c r="AG707" s="28">
        <f>IF(AQ707="2",BI707,0)</f>
        <v>0</v>
      </c>
      <c r="AH707" s="28">
        <f>IF(AQ707="0",BJ707,0)</f>
        <v>0</v>
      </c>
      <c r="AI707" s="10" t="s">
        <v>236</v>
      </c>
      <c r="AJ707" s="28">
        <f>IF(AN707=0,J707,0)</f>
        <v>0</v>
      </c>
      <c r="AK707" s="28">
        <f>IF(AN707=12,J707,0)</f>
        <v>0</v>
      </c>
      <c r="AL707" s="28">
        <f>IF(AN707=21,J707,0)</f>
        <v>0</v>
      </c>
      <c r="AN707" s="28">
        <v>21</v>
      </c>
      <c r="AO707" s="28">
        <f>G707*0</f>
        <v>0</v>
      </c>
      <c r="AP707" s="28">
        <f>G707*(1-0)</f>
        <v>0</v>
      </c>
      <c r="AQ707" s="30" t="s">
        <v>98</v>
      </c>
      <c r="AV707" s="28">
        <f>AW707+AX707</f>
        <v>0</v>
      </c>
      <c r="AW707" s="28">
        <f>F707*AO707</f>
        <v>0</v>
      </c>
      <c r="AX707" s="28">
        <f>F707*AP707</f>
        <v>0</v>
      </c>
      <c r="AY707" s="30" t="s">
        <v>1266</v>
      </c>
      <c r="AZ707" s="30" t="s">
        <v>1267</v>
      </c>
      <c r="BA707" s="10" t="s">
        <v>242</v>
      </c>
      <c r="BC707" s="28">
        <f>AW707+AX707</f>
        <v>0</v>
      </c>
      <c r="BD707" s="28">
        <f>G707/(100-BE707)*100</f>
        <v>0</v>
      </c>
      <c r="BE707" s="28">
        <v>0</v>
      </c>
      <c r="BF707" s="28">
        <f>707</f>
        <v>707</v>
      </c>
      <c r="BH707" s="28">
        <f>F707*AO707</f>
        <v>0</v>
      </c>
      <c r="BI707" s="28">
        <f>F707*AP707</f>
        <v>0</v>
      </c>
      <c r="BJ707" s="28">
        <f>F707*G707</f>
        <v>0</v>
      </c>
      <c r="BK707" s="28"/>
      <c r="BL707" s="28">
        <v>781</v>
      </c>
      <c r="BW707" s="28">
        <v>21</v>
      </c>
    </row>
    <row r="708" spans="1:75" x14ac:dyDescent="0.25">
      <c r="A708" s="31"/>
      <c r="C708" s="32" t="s">
        <v>1268</v>
      </c>
      <c r="D708" s="32" t="s">
        <v>1269</v>
      </c>
      <c r="F708" s="33">
        <v>3.6749999999999998</v>
      </c>
      <c r="K708" s="34"/>
    </row>
    <row r="709" spans="1:75" x14ac:dyDescent="0.25">
      <c r="A709" s="31"/>
      <c r="C709" s="32" t="s">
        <v>1270</v>
      </c>
      <c r="D709" s="32" t="s">
        <v>52</v>
      </c>
      <c r="F709" s="33">
        <v>1.9950000000000001</v>
      </c>
      <c r="K709" s="34"/>
    </row>
    <row r="710" spans="1:75" x14ac:dyDescent="0.25">
      <c r="A710" s="31"/>
      <c r="C710" s="32" t="s">
        <v>1271</v>
      </c>
      <c r="D710" s="32" t="s">
        <v>52</v>
      </c>
      <c r="F710" s="33">
        <v>2.1</v>
      </c>
      <c r="K710" s="34"/>
    </row>
    <row r="711" spans="1:75" x14ac:dyDescent="0.25">
      <c r="A711" s="31"/>
      <c r="C711" s="32" t="s">
        <v>1272</v>
      </c>
      <c r="D711" s="32" t="s">
        <v>52</v>
      </c>
      <c r="F711" s="33">
        <v>0.42</v>
      </c>
      <c r="K711" s="34"/>
    </row>
    <row r="712" spans="1:75" x14ac:dyDescent="0.25">
      <c r="A712" s="31"/>
      <c r="C712" s="32" t="s">
        <v>1270</v>
      </c>
      <c r="D712" s="32" t="s">
        <v>1273</v>
      </c>
      <c r="F712" s="33">
        <v>1.9950000000000001</v>
      </c>
      <c r="K712" s="34"/>
    </row>
    <row r="713" spans="1:75" x14ac:dyDescent="0.25">
      <c r="A713" s="31"/>
      <c r="C713" s="32" t="s">
        <v>1268</v>
      </c>
      <c r="D713" s="32" t="s">
        <v>52</v>
      </c>
      <c r="F713" s="33">
        <v>3.6749999999999998</v>
      </c>
      <c r="K713" s="34"/>
    </row>
    <row r="714" spans="1:75" x14ac:dyDescent="0.25">
      <c r="A714" s="31"/>
      <c r="C714" s="32" t="s">
        <v>1271</v>
      </c>
      <c r="D714" s="32" t="s">
        <v>52</v>
      </c>
      <c r="F714" s="33">
        <v>2.1</v>
      </c>
      <c r="K714" s="34"/>
    </row>
    <row r="715" spans="1:75" x14ac:dyDescent="0.25">
      <c r="A715" s="31"/>
      <c r="C715" s="32" t="s">
        <v>1272</v>
      </c>
      <c r="D715" s="32" t="s">
        <v>52</v>
      </c>
      <c r="F715" s="33">
        <v>0.42</v>
      </c>
      <c r="K715" s="34"/>
    </row>
    <row r="716" spans="1:75" ht="13.5" customHeight="1" x14ac:dyDescent="0.25">
      <c r="A716" s="2" t="s">
        <v>1285</v>
      </c>
      <c r="B716" s="3" t="s">
        <v>1286</v>
      </c>
      <c r="C716" s="83" t="s">
        <v>1287</v>
      </c>
      <c r="D716" s="80"/>
      <c r="E716" s="3" t="s">
        <v>148</v>
      </c>
      <c r="F716" s="28">
        <v>17.199000000000002</v>
      </c>
      <c r="G716" s="28">
        <v>0</v>
      </c>
      <c r="H716" s="28">
        <f>F716*AO716</f>
        <v>0</v>
      </c>
      <c r="I716" s="28">
        <f>F716*AP716</f>
        <v>0</v>
      </c>
      <c r="J716" s="28">
        <f>F716*G716</f>
        <v>0</v>
      </c>
      <c r="K716" s="29" t="s">
        <v>61</v>
      </c>
      <c r="Z716" s="28">
        <f>IF(AQ716="5",BJ716,0)</f>
        <v>0</v>
      </c>
      <c r="AB716" s="28">
        <f>IF(AQ716="1",BH716,0)</f>
        <v>0</v>
      </c>
      <c r="AC716" s="28">
        <f>IF(AQ716="1",BI716,0)</f>
        <v>0</v>
      </c>
      <c r="AD716" s="28">
        <f>IF(AQ716="7",BH716,0)</f>
        <v>0</v>
      </c>
      <c r="AE716" s="28">
        <f>IF(AQ716="7",BI716,0)</f>
        <v>0</v>
      </c>
      <c r="AF716" s="28">
        <f>IF(AQ716="2",BH716,0)</f>
        <v>0</v>
      </c>
      <c r="AG716" s="28">
        <f>IF(AQ716="2",BI716,0)</f>
        <v>0</v>
      </c>
      <c r="AH716" s="28">
        <f>IF(AQ716="0",BJ716,0)</f>
        <v>0</v>
      </c>
      <c r="AI716" s="10" t="s">
        <v>236</v>
      </c>
      <c r="AJ716" s="28">
        <f>IF(AN716=0,J716,0)</f>
        <v>0</v>
      </c>
      <c r="AK716" s="28">
        <f>IF(AN716=12,J716,0)</f>
        <v>0</v>
      </c>
      <c r="AL716" s="28">
        <f>IF(AN716=21,J716,0)</f>
        <v>0</v>
      </c>
      <c r="AN716" s="28">
        <v>21</v>
      </c>
      <c r="AO716" s="28">
        <f>G716*1</f>
        <v>0</v>
      </c>
      <c r="AP716" s="28">
        <f>G716*(1-1)</f>
        <v>0</v>
      </c>
      <c r="AQ716" s="30" t="s">
        <v>98</v>
      </c>
      <c r="AV716" s="28">
        <f>AW716+AX716</f>
        <v>0</v>
      </c>
      <c r="AW716" s="28">
        <f>F716*AO716</f>
        <v>0</v>
      </c>
      <c r="AX716" s="28">
        <f>F716*AP716</f>
        <v>0</v>
      </c>
      <c r="AY716" s="30" t="s">
        <v>1266</v>
      </c>
      <c r="AZ716" s="30" t="s">
        <v>1267</v>
      </c>
      <c r="BA716" s="10" t="s">
        <v>242</v>
      </c>
      <c r="BC716" s="28">
        <f>AW716+AX716</f>
        <v>0</v>
      </c>
      <c r="BD716" s="28">
        <f>G716/(100-BE716)*100</f>
        <v>0</v>
      </c>
      <c r="BE716" s="28">
        <v>0</v>
      </c>
      <c r="BF716" s="28">
        <f>716</f>
        <v>716</v>
      </c>
      <c r="BH716" s="28">
        <f>F716*AO716</f>
        <v>0</v>
      </c>
      <c r="BI716" s="28">
        <f>F716*AP716</f>
        <v>0</v>
      </c>
      <c r="BJ716" s="28">
        <f>F716*G716</f>
        <v>0</v>
      </c>
      <c r="BK716" s="28"/>
      <c r="BL716" s="28">
        <v>781</v>
      </c>
      <c r="BW716" s="28">
        <v>21</v>
      </c>
    </row>
    <row r="717" spans="1:75" x14ac:dyDescent="0.25">
      <c r="A717" s="31"/>
      <c r="C717" s="32" t="s">
        <v>1288</v>
      </c>
      <c r="D717" s="32" t="s">
        <v>52</v>
      </c>
      <c r="F717" s="33">
        <v>16.38</v>
      </c>
      <c r="K717" s="34"/>
    </row>
    <row r="718" spans="1:75" x14ac:dyDescent="0.25">
      <c r="A718" s="31"/>
      <c r="C718" s="32" t="s">
        <v>1289</v>
      </c>
      <c r="D718" s="32" t="s">
        <v>52</v>
      </c>
      <c r="F718" s="33">
        <v>0.81899999999999995</v>
      </c>
      <c r="K718" s="34"/>
    </row>
    <row r="719" spans="1:75" ht="13.5" customHeight="1" x14ac:dyDescent="0.25">
      <c r="A719" s="2" t="s">
        <v>1290</v>
      </c>
      <c r="B719" s="3" t="s">
        <v>1291</v>
      </c>
      <c r="C719" s="83" t="s">
        <v>1292</v>
      </c>
      <c r="D719" s="80"/>
      <c r="E719" s="3" t="s">
        <v>148</v>
      </c>
      <c r="F719" s="28">
        <v>16.38</v>
      </c>
      <c r="G719" s="28">
        <v>0</v>
      </c>
      <c r="H719" s="28">
        <f>F719*AO719</f>
        <v>0</v>
      </c>
      <c r="I719" s="28">
        <f>F719*AP719</f>
        <v>0</v>
      </c>
      <c r="J719" s="28">
        <f>F719*G719</f>
        <v>0</v>
      </c>
      <c r="K719" s="29" t="s">
        <v>61</v>
      </c>
      <c r="Z719" s="28">
        <f>IF(AQ719="5",BJ719,0)</f>
        <v>0</v>
      </c>
      <c r="AB719" s="28">
        <f>IF(AQ719="1",BH719,0)</f>
        <v>0</v>
      </c>
      <c r="AC719" s="28">
        <f>IF(AQ719="1",BI719,0)</f>
        <v>0</v>
      </c>
      <c r="AD719" s="28">
        <f>IF(AQ719="7",BH719,0)</f>
        <v>0</v>
      </c>
      <c r="AE719" s="28">
        <f>IF(AQ719="7",BI719,0)</f>
        <v>0</v>
      </c>
      <c r="AF719" s="28">
        <f>IF(AQ719="2",BH719,0)</f>
        <v>0</v>
      </c>
      <c r="AG719" s="28">
        <f>IF(AQ719="2",BI719,0)</f>
        <v>0</v>
      </c>
      <c r="AH719" s="28">
        <f>IF(AQ719="0",BJ719,0)</f>
        <v>0</v>
      </c>
      <c r="AI719" s="10" t="s">
        <v>236</v>
      </c>
      <c r="AJ719" s="28">
        <f>IF(AN719=0,J719,0)</f>
        <v>0</v>
      </c>
      <c r="AK719" s="28">
        <f>IF(AN719=12,J719,0)</f>
        <v>0</v>
      </c>
      <c r="AL719" s="28">
        <f>IF(AN719=21,J719,0)</f>
        <v>0</v>
      </c>
      <c r="AN719" s="28">
        <v>21</v>
      </c>
      <c r="AO719" s="28">
        <f>G719*1.000010261</f>
        <v>0</v>
      </c>
      <c r="AP719" s="28">
        <f>G719*(1-1.000010261)</f>
        <v>0</v>
      </c>
      <c r="AQ719" s="30" t="s">
        <v>98</v>
      </c>
      <c r="AV719" s="28">
        <f>AW719+AX719</f>
        <v>0</v>
      </c>
      <c r="AW719" s="28">
        <f>F719*AO719</f>
        <v>0</v>
      </c>
      <c r="AX719" s="28">
        <f>F719*AP719</f>
        <v>0</v>
      </c>
      <c r="AY719" s="30" t="s">
        <v>1266</v>
      </c>
      <c r="AZ719" s="30" t="s">
        <v>1267</v>
      </c>
      <c r="BA719" s="10" t="s">
        <v>242</v>
      </c>
      <c r="BC719" s="28">
        <f>AW719+AX719</f>
        <v>0</v>
      </c>
      <c r="BD719" s="28">
        <f>G719/(100-BE719)*100</f>
        <v>0</v>
      </c>
      <c r="BE719" s="28">
        <v>0</v>
      </c>
      <c r="BF719" s="28">
        <f>719</f>
        <v>719</v>
      </c>
      <c r="BH719" s="28">
        <f>F719*AO719</f>
        <v>0</v>
      </c>
      <c r="BI719" s="28">
        <f>F719*AP719</f>
        <v>0</v>
      </c>
      <c r="BJ719" s="28">
        <f>F719*G719</f>
        <v>0</v>
      </c>
      <c r="BK719" s="28"/>
      <c r="BL719" s="28">
        <v>781</v>
      </c>
      <c r="BW719" s="28">
        <v>21</v>
      </c>
    </row>
    <row r="720" spans="1:75" ht="13.5" customHeight="1" x14ac:dyDescent="0.25">
      <c r="A720" s="2" t="s">
        <v>1293</v>
      </c>
      <c r="B720" s="3" t="s">
        <v>1294</v>
      </c>
      <c r="C720" s="83" t="s">
        <v>1295</v>
      </c>
      <c r="D720" s="80"/>
      <c r="E720" s="3" t="s">
        <v>78</v>
      </c>
      <c r="F720" s="28">
        <v>8.6</v>
      </c>
      <c r="G720" s="28">
        <v>0</v>
      </c>
      <c r="H720" s="28">
        <f>F720*AO720</f>
        <v>0</v>
      </c>
      <c r="I720" s="28">
        <f>F720*AP720</f>
        <v>0</v>
      </c>
      <c r="J720" s="28">
        <f>F720*G720</f>
        <v>0</v>
      </c>
      <c r="K720" s="29" t="s">
        <v>61</v>
      </c>
      <c r="Z720" s="28">
        <f>IF(AQ720="5",BJ720,0)</f>
        <v>0</v>
      </c>
      <c r="AB720" s="28">
        <f>IF(AQ720="1",BH720,0)</f>
        <v>0</v>
      </c>
      <c r="AC720" s="28">
        <f>IF(AQ720="1",BI720,0)</f>
        <v>0</v>
      </c>
      <c r="AD720" s="28">
        <f>IF(AQ720="7",BH720,0)</f>
        <v>0</v>
      </c>
      <c r="AE720" s="28">
        <f>IF(AQ720="7",BI720,0)</f>
        <v>0</v>
      </c>
      <c r="AF720" s="28">
        <f>IF(AQ720="2",BH720,0)</f>
        <v>0</v>
      </c>
      <c r="AG720" s="28">
        <f>IF(AQ720="2",BI720,0)</f>
        <v>0</v>
      </c>
      <c r="AH720" s="28">
        <f>IF(AQ720="0",BJ720,0)</f>
        <v>0</v>
      </c>
      <c r="AI720" s="10" t="s">
        <v>236</v>
      </c>
      <c r="AJ720" s="28">
        <f>IF(AN720=0,J720,0)</f>
        <v>0</v>
      </c>
      <c r="AK720" s="28">
        <f>IF(AN720=12,J720,0)</f>
        <v>0</v>
      </c>
      <c r="AL720" s="28">
        <f>IF(AN720=21,J720,0)</f>
        <v>0</v>
      </c>
      <c r="AN720" s="28">
        <v>21</v>
      </c>
      <c r="AO720" s="28">
        <f>G720*0.75636036</f>
        <v>0</v>
      </c>
      <c r="AP720" s="28">
        <f>G720*(1-0.75636036)</f>
        <v>0</v>
      </c>
      <c r="AQ720" s="30" t="s">
        <v>98</v>
      </c>
      <c r="AV720" s="28">
        <f>AW720+AX720</f>
        <v>0</v>
      </c>
      <c r="AW720" s="28">
        <f>F720*AO720</f>
        <v>0</v>
      </c>
      <c r="AX720" s="28">
        <f>F720*AP720</f>
        <v>0</v>
      </c>
      <c r="AY720" s="30" t="s">
        <v>1266</v>
      </c>
      <c r="AZ720" s="30" t="s">
        <v>1267</v>
      </c>
      <c r="BA720" s="10" t="s">
        <v>242</v>
      </c>
      <c r="BC720" s="28">
        <f>AW720+AX720</f>
        <v>0</v>
      </c>
      <c r="BD720" s="28">
        <f>G720/(100-BE720)*100</f>
        <v>0</v>
      </c>
      <c r="BE720" s="28">
        <v>0</v>
      </c>
      <c r="BF720" s="28">
        <f>720</f>
        <v>720</v>
      </c>
      <c r="BH720" s="28">
        <f>F720*AO720</f>
        <v>0</v>
      </c>
      <c r="BI720" s="28">
        <f>F720*AP720</f>
        <v>0</v>
      </c>
      <c r="BJ720" s="28">
        <f>F720*G720</f>
        <v>0</v>
      </c>
      <c r="BK720" s="28"/>
      <c r="BL720" s="28">
        <v>781</v>
      </c>
      <c r="BW720" s="28">
        <v>21</v>
      </c>
    </row>
    <row r="721" spans="1:75" x14ac:dyDescent="0.25">
      <c r="A721" s="31"/>
      <c r="C721" s="32" t="s">
        <v>1296</v>
      </c>
      <c r="D721" s="32" t="s">
        <v>52</v>
      </c>
      <c r="F721" s="33">
        <v>2.7</v>
      </c>
      <c r="K721" s="34"/>
    </row>
    <row r="722" spans="1:75" x14ac:dyDescent="0.25">
      <c r="A722" s="31"/>
      <c r="C722" s="32" t="s">
        <v>1297</v>
      </c>
      <c r="D722" s="32" t="s">
        <v>52</v>
      </c>
      <c r="F722" s="33">
        <v>1.2</v>
      </c>
      <c r="K722" s="34"/>
    </row>
    <row r="723" spans="1:75" x14ac:dyDescent="0.25">
      <c r="A723" s="31"/>
      <c r="C723" s="32" t="s">
        <v>1296</v>
      </c>
      <c r="D723" s="32" t="s">
        <v>52</v>
      </c>
      <c r="F723" s="33">
        <v>2.7</v>
      </c>
      <c r="K723" s="34"/>
    </row>
    <row r="724" spans="1:75" x14ac:dyDescent="0.25">
      <c r="A724" s="31"/>
      <c r="C724" s="32" t="s">
        <v>1298</v>
      </c>
      <c r="D724" s="32" t="s">
        <v>52</v>
      </c>
      <c r="F724" s="33">
        <v>2</v>
      </c>
      <c r="K724" s="34"/>
    </row>
    <row r="725" spans="1:75" ht="13.5" customHeight="1" x14ac:dyDescent="0.25">
      <c r="A725" s="2" t="s">
        <v>1299</v>
      </c>
      <c r="B725" s="3" t="s">
        <v>1300</v>
      </c>
      <c r="C725" s="83" t="s">
        <v>1301</v>
      </c>
      <c r="D725" s="80"/>
      <c r="E725" s="3" t="s">
        <v>137</v>
      </c>
      <c r="F725" s="28">
        <v>1</v>
      </c>
      <c r="G725" s="28">
        <v>0</v>
      </c>
      <c r="H725" s="28">
        <f>F725*AO725</f>
        <v>0</v>
      </c>
      <c r="I725" s="28">
        <f>F725*AP725</f>
        <v>0</v>
      </c>
      <c r="J725" s="28">
        <f>F725*G725</f>
        <v>0</v>
      </c>
      <c r="K725" s="29" t="s">
        <v>61</v>
      </c>
      <c r="Z725" s="28">
        <f>IF(AQ725="5",BJ725,0)</f>
        <v>0</v>
      </c>
      <c r="AB725" s="28">
        <f>IF(AQ725="1",BH725,0)</f>
        <v>0</v>
      </c>
      <c r="AC725" s="28">
        <f>IF(AQ725="1",BI725,0)</f>
        <v>0</v>
      </c>
      <c r="AD725" s="28">
        <f>IF(AQ725="7",BH725,0)</f>
        <v>0</v>
      </c>
      <c r="AE725" s="28">
        <f>IF(AQ725="7",BI725,0)</f>
        <v>0</v>
      </c>
      <c r="AF725" s="28">
        <f>IF(AQ725="2",BH725,0)</f>
        <v>0</v>
      </c>
      <c r="AG725" s="28">
        <f>IF(AQ725="2",BI725,0)</f>
        <v>0</v>
      </c>
      <c r="AH725" s="28">
        <f>IF(AQ725="0",BJ725,0)</f>
        <v>0</v>
      </c>
      <c r="AI725" s="10" t="s">
        <v>236</v>
      </c>
      <c r="AJ725" s="28">
        <f>IF(AN725=0,J725,0)</f>
        <v>0</v>
      </c>
      <c r="AK725" s="28">
        <f>IF(AN725=12,J725,0)</f>
        <v>0</v>
      </c>
      <c r="AL725" s="28">
        <f>IF(AN725=21,J725,0)</f>
        <v>0</v>
      </c>
      <c r="AN725" s="28">
        <v>21</v>
      </c>
      <c r="AO725" s="28">
        <f>G725*0.017595819</f>
        <v>0</v>
      </c>
      <c r="AP725" s="28">
        <f>G725*(1-0.017595819)</f>
        <v>0</v>
      </c>
      <c r="AQ725" s="30" t="s">
        <v>98</v>
      </c>
      <c r="AV725" s="28">
        <f>AW725+AX725</f>
        <v>0</v>
      </c>
      <c r="AW725" s="28">
        <f>F725*AO725</f>
        <v>0</v>
      </c>
      <c r="AX725" s="28">
        <f>F725*AP725</f>
        <v>0</v>
      </c>
      <c r="AY725" s="30" t="s">
        <v>1266</v>
      </c>
      <c r="AZ725" s="30" t="s">
        <v>1267</v>
      </c>
      <c r="BA725" s="10" t="s">
        <v>242</v>
      </c>
      <c r="BC725" s="28">
        <f>AW725+AX725</f>
        <v>0</v>
      </c>
      <c r="BD725" s="28">
        <f>G725/(100-BE725)*100</f>
        <v>0</v>
      </c>
      <c r="BE725" s="28">
        <v>0</v>
      </c>
      <c r="BF725" s="28">
        <f>725</f>
        <v>725</v>
      </c>
      <c r="BH725" s="28">
        <f>F725*AO725</f>
        <v>0</v>
      </c>
      <c r="BI725" s="28">
        <f>F725*AP725</f>
        <v>0</v>
      </c>
      <c r="BJ725" s="28">
        <f>F725*G725</f>
        <v>0</v>
      </c>
      <c r="BK725" s="28"/>
      <c r="BL725" s="28">
        <v>781</v>
      </c>
      <c r="BW725" s="28">
        <v>21</v>
      </c>
    </row>
    <row r="726" spans="1:75" x14ac:dyDescent="0.25">
      <c r="A726" s="31"/>
      <c r="C726" s="32" t="s">
        <v>57</v>
      </c>
      <c r="D726" s="32" t="s">
        <v>52</v>
      </c>
      <c r="F726" s="33">
        <v>1</v>
      </c>
      <c r="K726" s="34"/>
    </row>
    <row r="727" spans="1:75" ht="13.5" customHeight="1" x14ac:dyDescent="0.25">
      <c r="A727" s="2" t="s">
        <v>1302</v>
      </c>
      <c r="B727" s="3" t="s">
        <v>1303</v>
      </c>
      <c r="C727" s="83" t="s">
        <v>1304</v>
      </c>
      <c r="D727" s="80"/>
      <c r="E727" s="3" t="s">
        <v>137</v>
      </c>
      <c r="F727" s="28">
        <v>2</v>
      </c>
      <c r="G727" s="28">
        <v>0</v>
      </c>
      <c r="H727" s="28">
        <f>F727*AO727</f>
        <v>0</v>
      </c>
      <c r="I727" s="28">
        <f>F727*AP727</f>
        <v>0</v>
      </c>
      <c r="J727" s="28">
        <f>F727*G727</f>
        <v>0</v>
      </c>
      <c r="K727" s="29" t="s">
        <v>61</v>
      </c>
      <c r="Z727" s="28">
        <f>IF(AQ727="5",BJ727,0)</f>
        <v>0</v>
      </c>
      <c r="AB727" s="28">
        <f>IF(AQ727="1",BH727,0)</f>
        <v>0</v>
      </c>
      <c r="AC727" s="28">
        <f>IF(AQ727="1",BI727,0)</f>
        <v>0</v>
      </c>
      <c r="AD727" s="28">
        <f>IF(AQ727="7",BH727,0)</f>
        <v>0</v>
      </c>
      <c r="AE727" s="28">
        <f>IF(AQ727="7",BI727,0)</f>
        <v>0</v>
      </c>
      <c r="AF727" s="28">
        <f>IF(AQ727="2",BH727,0)</f>
        <v>0</v>
      </c>
      <c r="AG727" s="28">
        <f>IF(AQ727="2",BI727,0)</f>
        <v>0</v>
      </c>
      <c r="AH727" s="28">
        <f>IF(AQ727="0",BJ727,0)</f>
        <v>0</v>
      </c>
      <c r="AI727" s="10" t="s">
        <v>236</v>
      </c>
      <c r="AJ727" s="28">
        <f>IF(AN727=0,J727,0)</f>
        <v>0</v>
      </c>
      <c r="AK727" s="28">
        <f>IF(AN727=12,J727,0)</f>
        <v>0</v>
      </c>
      <c r="AL727" s="28">
        <f>IF(AN727=21,J727,0)</f>
        <v>0</v>
      </c>
      <c r="AN727" s="28">
        <v>21</v>
      </c>
      <c r="AO727" s="28">
        <f>G727*0.058054711</f>
        <v>0</v>
      </c>
      <c r="AP727" s="28">
        <f>G727*(1-0.058054711)</f>
        <v>0</v>
      </c>
      <c r="AQ727" s="30" t="s">
        <v>98</v>
      </c>
      <c r="AV727" s="28">
        <f>AW727+AX727</f>
        <v>0</v>
      </c>
      <c r="AW727" s="28">
        <f>F727*AO727</f>
        <v>0</v>
      </c>
      <c r="AX727" s="28">
        <f>F727*AP727</f>
        <v>0</v>
      </c>
      <c r="AY727" s="30" t="s">
        <v>1266</v>
      </c>
      <c r="AZ727" s="30" t="s">
        <v>1267</v>
      </c>
      <c r="BA727" s="10" t="s">
        <v>242</v>
      </c>
      <c r="BC727" s="28">
        <f>AW727+AX727</f>
        <v>0</v>
      </c>
      <c r="BD727" s="28">
        <f>G727/(100-BE727)*100</f>
        <v>0</v>
      </c>
      <c r="BE727" s="28">
        <v>0</v>
      </c>
      <c r="BF727" s="28">
        <f>727</f>
        <v>727</v>
      </c>
      <c r="BH727" s="28">
        <f>F727*AO727</f>
        <v>0</v>
      </c>
      <c r="BI727" s="28">
        <f>F727*AP727</f>
        <v>0</v>
      </c>
      <c r="BJ727" s="28">
        <f>F727*G727</f>
        <v>0</v>
      </c>
      <c r="BK727" s="28"/>
      <c r="BL727" s="28">
        <v>781</v>
      </c>
      <c r="BW727" s="28">
        <v>21</v>
      </c>
    </row>
    <row r="728" spans="1:75" x14ac:dyDescent="0.25">
      <c r="A728" s="31"/>
      <c r="C728" s="32" t="s">
        <v>1298</v>
      </c>
      <c r="D728" s="32" t="s">
        <v>52</v>
      </c>
      <c r="F728" s="33">
        <v>2</v>
      </c>
      <c r="K728" s="34"/>
    </row>
    <row r="729" spans="1:75" ht="13.5" customHeight="1" x14ac:dyDescent="0.25">
      <c r="A729" s="2" t="s">
        <v>1305</v>
      </c>
      <c r="B729" s="3" t="s">
        <v>1306</v>
      </c>
      <c r="C729" s="83" t="s">
        <v>1307</v>
      </c>
      <c r="D729" s="80"/>
      <c r="E729" s="3" t="s">
        <v>71</v>
      </c>
      <c r="F729" s="28">
        <v>0.27384999999999998</v>
      </c>
      <c r="G729" s="28">
        <v>0</v>
      </c>
      <c r="H729" s="28">
        <f>F729*AO729</f>
        <v>0</v>
      </c>
      <c r="I729" s="28">
        <f>F729*AP729</f>
        <v>0</v>
      </c>
      <c r="J729" s="28">
        <f>F729*G729</f>
        <v>0</v>
      </c>
      <c r="K729" s="29" t="s">
        <v>61</v>
      </c>
      <c r="Z729" s="28">
        <f>IF(AQ729="5",BJ729,0)</f>
        <v>0</v>
      </c>
      <c r="AB729" s="28">
        <f>IF(AQ729="1",BH729,0)</f>
        <v>0</v>
      </c>
      <c r="AC729" s="28">
        <f>IF(AQ729="1",BI729,0)</f>
        <v>0</v>
      </c>
      <c r="AD729" s="28">
        <f>IF(AQ729="7",BH729,0)</f>
        <v>0</v>
      </c>
      <c r="AE729" s="28">
        <f>IF(AQ729="7",BI729,0)</f>
        <v>0</v>
      </c>
      <c r="AF729" s="28">
        <f>IF(AQ729="2",BH729,0)</f>
        <v>0</v>
      </c>
      <c r="AG729" s="28">
        <f>IF(AQ729="2",BI729,0)</f>
        <v>0</v>
      </c>
      <c r="AH729" s="28">
        <f>IF(AQ729="0",BJ729,0)</f>
        <v>0</v>
      </c>
      <c r="AI729" s="10" t="s">
        <v>236</v>
      </c>
      <c r="AJ729" s="28">
        <f>IF(AN729=0,J729,0)</f>
        <v>0</v>
      </c>
      <c r="AK729" s="28">
        <f>IF(AN729=12,J729,0)</f>
        <v>0</v>
      </c>
      <c r="AL729" s="28">
        <f>IF(AN729=21,J729,0)</f>
        <v>0</v>
      </c>
      <c r="AN729" s="28">
        <v>21</v>
      </c>
      <c r="AO729" s="28">
        <f>G729*0</f>
        <v>0</v>
      </c>
      <c r="AP729" s="28">
        <f>G729*(1-0)</f>
        <v>0</v>
      </c>
      <c r="AQ729" s="30" t="s">
        <v>87</v>
      </c>
      <c r="AV729" s="28">
        <f>AW729+AX729</f>
        <v>0</v>
      </c>
      <c r="AW729" s="28">
        <f>F729*AO729</f>
        <v>0</v>
      </c>
      <c r="AX729" s="28">
        <f>F729*AP729</f>
        <v>0</v>
      </c>
      <c r="AY729" s="30" t="s">
        <v>1266</v>
      </c>
      <c r="AZ729" s="30" t="s">
        <v>1267</v>
      </c>
      <c r="BA729" s="10" t="s">
        <v>242</v>
      </c>
      <c r="BC729" s="28">
        <f>AW729+AX729</f>
        <v>0</v>
      </c>
      <c r="BD729" s="28">
        <f>G729/(100-BE729)*100</f>
        <v>0</v>
      </c>
      <c r="BE729" s="28">
        <v>0</v>
      </c>
      <c r="BF729" s="28">
        <f>729</f>
        <v>729</v>
      </c>
      <c r="BH729" s="28">
        <f>F729*AO729</f>
        <v>0</v>
      </c>
      <c r="BI729" s="28">
        <f>F729*AP729</f>
        <v>0</v>
      </c>
      <c r="BJ729" s="28">
        <f>F729*G729</f>
        <v>0</v>
      </c>
      <c r="BK729" s="28"/>
      <c r="BL729" s="28">
        <v>781</v>
      </c>
      <c r="BW729" s="28">
        <v>21</v>
      </c>
    </row>
    <row r="730" spans="1:75" x14ac:dyDescent="0.25">
      <c r="A730" s="24" t="s">
        <v>52</v>
      </c>
      <c r="B730" s="25" t="s">
        <v>1308</v>
      </c>
      <c r="C730" s="139" t="s">
        <v>1309</v>
      </c>
      <c r="D730" s="140"/>
      <c r="E730" s="26" t="s">
        <v>4</v>
      </c>
      <c r="F730" s="26" t="s">
        <v>4</v>
      </c>
      <c r="G730" s="26" t="s">
        <v>4</v>
      </c>
      <c r="H730" s="1">
        <f>SUM(H731:H758)</f>
        <v>0</v>
      </c>
      <c r="I730" s="1">
        <f>SUM(I731:I758)</f>
        <v>0</v>
      </c>
      <c r="J730" s="1">
        <f>SUM(J731:J758)</f>
        <v>0</v>
      </c>
      <c r="K730" s="27" t="s">
        <v>52</v>
      </c>
      <c r="AI730" s="10" t="s">
        <v>236</v>
      </c>
      <c r="AS730" s="1">
        <f>SUM(AJ731:AJ758)</f>
        <v>0</v>
      </c>
      <c r="AT730" s="1">
        <f>SUM(AK731:AK758)</f>
        <v>0</v>
      </c>
      <c r="AU730" s="1">
        <f>SUM(AL731:AL758)</f>
        <v>0</v>
      </c>
    </row>
    <row r="731" spans="1:75" ht="27" customHeight="1" x14ac:dyDescent="0.25">
      <c r="A731" s="2" t="s">
        <v>1310</v>
      </c>
      <c r="B731" s="3" t="s">
        <v>1311</v>
      </c>
      <c r="C731" s="83" t="s">
        <v>1312</v>
      </c>
      <c r="D731" s="80"/>
      <c r="E731" s="3" t="s">
        <v>148</v>
      </c>
      <c r="F731" s="28">
        <v>398.22199999999998</v>
      </c>
      <c r="G731" s="28">
        <v>0</v>
      </c>
      <c r="H731" s="28">
        <f>F731*AO731</f>
        <v>0</v>
      </c>
      <c r="I731" s="28">
        <f>F731*AP731</f>
        <v>0</v>
      </c>
      <c r="J731" s="28">
        <f>F731*G731</f>
        <v>0</v>
      </c>
      <c r="K731" s="29" t="s">
        <v>61</v>
      </c>
      <c r="Z731" s="28">
        <f>IF(AQ731="5",BJ731,0)</f>
        <v>0</v>
      </c>
      <c r="AB731" s="28">
        <f>IF(AQ731="1",BH731,0)</f>
        <v>0</v>
      </c>
      <c r="AC731" s="28">
        <f>IF(AQ731="1",BI731,0)</f>
        <v>0</v>
      </c>
      <c r="AD731" s="28">
        <f>IF(AQ731="7",BH731,0)</f>
        <v>0</v>
      </c>
      <c r="AE731" s="28">
        <f>IF(AQ731="7",BI731,0)</f>
        <v>0</v>
      </c>
      <c r="AF731" s="28">
        <f>IF(AQ731="2",BH731,0)</f>
        <v>0</v>
      </c>
      <c r="AG731" s="28">
        <f>IF(AQ731="2",BI731,0)</f>
        <v>0</v>
      </c>
      <c r="AH731" s="28">
        <f>IF(AQ731="0",BJ731,0)</f>
        <v>0</v>
      </c>
      <c r="AI731" s="10" t="s">
        <v>236</v>
      </c>
      <c r="AJ731" s="28">
        <f>IF(AN731=0,J731,0)</f>
        <v>0</v>
      </c>
      <c r="AK731" s="28">
        <f>IF(AN731=12,J731,0)</f>
        <v>0</v>
      </c>
      <c r="AL731" s="28">
        <f>IF(AN731=21,J731,0)</f>
        <v>0</v>
      </c>
      <c r="AN731" s="28">
        <v>21</v>
      </c>
      <c r="AO731" s="28">
        <f>G731*0.430272884</f>
        <v>0</v>
      </c>
      <c r="AP731" s="28">
        <f>G731*(1-0.430272884)</f>
        <v>0</v>
      </c>
      <c r="AQ731" s="30" t="s">
        <v>98</v>
      </c>
      <c r="AV731" s="28">
        <f>AW731+AX731</f>
        <v>0</v>
      </c>
      <c r="AW731" s="28">
        <f>F731*AO731</f>
        <v>0</v>
      </c>
      <c r="AX731" s="28">
        <f>F731*AP731</f>
        <v>0</v>
      </c>
      <c r="AY731" s="30" t="s">
        <v>1313</v>
      </c>
      <c r="AZ731" s="30" t="s">
        <v>1267</v>
      </c>
      <c r="BA731" s="10" t="s">
        <v>242</v>
      </c>
      <c r="BC731" s="28">
        <f>AW731+AX731</f>
        <v>0</v>
      </c>
      <c r="BD731" s="28">
        <f>G731/(100-BE731)*100</f>
        <v>0</v>
      </c>
      <c r="BE731" s="28">
        <v>0</v>
      </c>
      <c r="BF731" s="28">
        <f>731</f>
        <v>731</v>
      </c>
      <c r="BH731" s="28">
        <f>F731*AO731</f>
        <v>0</v>
      </c>
      <c r="BI731" s="28">
        <f>F731*AP731</f>
        <v>0</v>
      </c>
      <c r="BJ731" s="28">
        <f>F731*G731</f>
        <v>0</v>
      </c>
      <c r="BK731" s="28"/>
      <c r="BL731" s="28">
        <v>783</v>
      </c>
      <c r="BW731" s="28">
        <v>21</v>
      </c>
    </row>
    <row r="732" spans="1:75" x14ac:dyDescent="0.25">
      <c r="A732" s="31"/>
      <c r="C732" s="32" t="s">
        <v>1314</v>
      </c>
      <c r="D732" s="32" t="s">
        <v>1315</v>
      </c>
      <c r="F732" s="33">
        <v>153.66999999999999</v>
      </c>
      <c r="K732" s="34"/>
    </row>
    <row r="733" spans="1:75" x14ac:dyDescent="0.25">
      <c r="A733" s="31"/>
      <c r="C733" s="32" t="s">
        <v>1316</v>
      </c>
      <c r="D733" s="32" t="s">
        <v>1317</v>
      </c>
      <c r="F733" s="33">
        <v>284.02</v>
      </c>
      <c r="K733" s="34"/>
    </row>
    <row r="734" spans="1:75" x14ac:dyDescent="0.25">
      <c r="A734" s="31"/>
      <c r="C734" s="32" t="s">
        <v>1318</v>
      </c>
      <c r="D734" s="32" t="s">
        <v>1319</v>
      </c>
      <c r="F734" s="33">
        <v>-39.468000000000004</v>
      </c>
      <c r="K734" s="34"/>
    </row>
    <row r="735" spans="1:75" ht="13.5" customHeight="1" x14ac:dyDescent="0.25">
      <c r="A735" s="2" t="s">
        <v>1320</v>
      </c>
      <c r="B735" s="3" t="s">
        <v>1321</v>
      </c>
      <c r="C735" s="83" t="s">
        <v>1322</v>
      </c>
      <c r="D735" s="80"/>
      <c r="E735" s="3" t="s">
        <v>148</v>
      </c>
      <c r="F735" s="28">
        <v>918.90830000000005</v>
      </c>
      <c r="G735" s="28">
        <v>0</v>
      </c>
      <c r="H735" s="28">
        <f>F735*AO735</f>
        <v>0</v>
      </c>
      <c r="I735" s="28">
        <f>F735*AP735</f>
        <v>0</v>
      </c>
      <c r="J735" s="28">
        <f>F735*G735</f>
        <v>0</v>
      </c>
      <c r="K735" s="29" t="s">
        <v>61</v>
      </c>
      <c r="Z735" s="28">
        <f>IF(AQ735="5",BJ735,0)</f>
        <v>0</v>
      </c>
      <c r="AB735" s="28">
        <f>IF(AQ735="1",BH735,0)</f>
        <v>0</v>
      </c>
      <c r="AC735" s="28">
        <f>IF(AQ735="1",BI735,0)</f>
        <v>0</v>
      </c>
      <c r="AD735" s="28">
        <f>IF(AQ735="7",BH735,0)</f>
        <v>0</v>
      </c>
      <c r="AE735" s="28">
        <f>IF(AQ735="7",BI735,0)</f>
        <v>0</v>
      </c>
      <c r="AF735" s="28">
        <f>IF(AQ735="2",BH735,0)</f>
        <v>0</v>
      </c>
      <c r="AG735" s="28">
        <f>IF(AQ735="2",BI735,0)</f>
        <v>0</v>
      </c>
      <c r="AH735" s="28">
        <f>IF(AQ735="0",BJ735,0)</f>
        <v>0</v>
      </c>
      <c r="AI735" s="10" t="s">
        <v>236</v>
      </c>
      <c r="AJ735" s="28">
        <f>IF(AN735=0,J735,0)</f>
        <v>0</v>
      </c>
      <c r="AK735" s="28">
        <f>IF(AN735=12,J735,0)</f>
        <v>0</v>
      </c>
      <c r="AL735" s="28">
        <f>IF(AN735=21,J735,0)</f>
        <v>0</v>
      </c>
      <c r="AN735" s="28">
        <v>21</v>
      </c>
      <c r="AO735" s="28">
        <f>G735*0.413816855</f>
        <v>0</v>
      </c>
      <c r="AP735" s="28">
        <f>G735*(1-0.413816855)</f>
        <v>0</v>
      </c>
      <c r="AQ735" s="30" t="s">
        <v>98</v>
      </c>
      <c r="AV735" s="28">
        <f>AW735+AX735</f>
        <v>0</v>
      </c>
      <c r="AW735" s="28">
        <f>F735*AO735</f>
        <v>0</v>
      </c>
      <c r="AX735" s="28">
        <f>F735*AP735</f>
        <v>0</v>
      </c>
      <c r="AY735" s="30" t="s">
        <v>1313</v>
      </c>
      <c r="AZ735" s="30" t="s">
        <v>1267</v>
      </c>
      <c r="BA735" s="10" t="s">
        <v>242</v>
      </c>
      <c r="BC735" s="28">
        <f>AW735+AX735</f>
        <v>0</v>
      </c>
      <c r="BD735" s="28">
        <f>G735/(100-BE735)*100</f>
        <v>0</v>
      </c>
      <c r="BE735" s="28">
        <v>0</v>
      </c>
      <c r="BF735" s="28">
        <f>735</f>
        <v>735</v>
      </c>
      <c r="BH735" s="28">
        <f>F735*AO735</f>
        <v>0</v>
      </c>
      <c r="BI735" s="28">
        <f>F735*AP735</f>
        <v>0</v>
      </c>
      <c r="BJ735" s="28">
        <f>F735*G735</f>
        <v>0</v>
      </c>
      <c r="BK735" s="28"/>
      <c r="BL735" s="28">
        <v>783</v>
      </c>
      <c r="BW735" s="28">
        <v>21</v>
      </c>
    </row>
    <row r="736" spans="1:75" x14ac:dyDescent="0.25">
      <c r="A736" s="31"/>
      <c r="C736" s="32" t="s">
        <v>52</v>
      </c>
      <c r="D736" s="32" t="s">
        <v>1323</v>
      </c>
      <c r="F736" s="33">
        <v>0</v>
      </c>
      <c r="K736" s="34"/>
    </row>
    <row r="737" spans="1:11" x14ac:dyDescent="0.25">
      <c r="A737" s="31"/>
      <c r="C737" s="32" t="s">
        <v>1324</v>
      </c>
      <c r="D737" s="32" t="s">
        <v>1325</v>
      </c>
      <c r="F737" s="33">
        <v>148.74</v>
      </c>
      <c r="K737" s="34"/>
    </row>
    <row r="738" spans="1:11" x14ac:dyDescent="0.25">
      <c r="A738" s="31"/>
      <c r="C738" s="32" t="s">
        <v>1326</v>
      </c>
      <c r="D738" s="32" t="s">
        <v>1327</v>
      </c>
      <c r="F738" s="33">
        <v>148.22999999999999</v>
      </c>
      <c r="K738" s="34"/>
    </row>
    <row r="739" spans="1:11" x14ac:dyDescent="0.25">
      <c r="A739" s="31"/>
      <c r="C739" s="32" t="s">
        <v>1328</v>
      </c>
      <c r="D739" s="32" t="s">
        <v>1329</v>
      </c>
      <c r="F739" s="33">
        <v>10</v>
      </c>
      <c r="K739" s="34"/>
    </row>
    <row r="740" spans="1:11" x14ac:dyDescent="0.25">
      <c r="A740" s="31"/>
      <c r="C740" s="32" t="s">
        <v>1330</v>
      </c>
      <c r="D740" s="32" t="s">
        <v>1331</v>
      </c>
      <c r="F740" s="33">
        <v>11.1</v>
      </c>
      <c r="K740" s="34"/>
    </row>
    <row r="741" spans="1:11" x14ac:dyDescent="0.25">
      <c r="A741" s="31"/>
      <c r="C741" s="32" t="s">
        <v>1332</v>
      </c>
      <c r="D741" s="32" t="s">
        <v>1333</v>
      </c>
      <c r="F741" s="33">
        <v>20.5</v>
      </c>
      <c r="K741" s="34"/>
    </row>
    <row r="742" spans="1:11" x14ac:dyDescent="0.25">
      <c r="A742" s="31"/>
      <c r="C742" s="32" t="s">
        <v>1334</v>
      </c>
      <c r="D742" s="32" t="s">
        <v>1335</v>
      </c>
      <c r="F742" s="33">
        <v>0.5</v>
      </c>
      <c r="K742" s="34"/>
    </row>
    <row r="743" spans="1:11" x14ac:dyDescent="0.25">
      <c r="A743" s="31"/>
      <c r="C743" s="32" t="s">
        <v>1336</v>
      </c>
      <c r="D743" s="32" t="s">
        <v>1337</v>
      </c>
      <c r="F743" s="33">
        <v>2.5</v>
      </c>
      <c r="K743" s="34"/>
    </row>
    <row r="744" spans="1:11" x14ac:dyDescent="0.25">
      <c r="A744" s="31"/>
      <c r="C744" s="32" t="s">
        <v>1338</v>
      </c>
      <c r="D744" s="32" t="s">
        <v>1339</v>
      </c>
      <c r="F744" s="33">
        <v>2.4</v>
      </c>
      <c r="K744" s="34"/>
    </row>
    <row r="745" spans="1:11" x14ac:dyDescent="0.25">
      <c r="A745" s="31"/>
      <c r="C745" s="32" t="s">
        <v>1334</v>
      </c>
      <c r="D745" s="32" t="s">
        <v>1340</v>
      </c>
      <c r="F745" s="33">
        <v>0.5</v>
      </c>
      <c r="K745" s="34"/>
    </row>
    <row r="746" spans="1:11" x14ac:dyDescent="0.25">
      <c r="A746" s="31"/>
      <c r="C746" s="32" t="s">
        <v>1341</v>
      </c>
      <c r="D746" s="32" t="s">
        <v>1342</v>
      </c>
      <c r="F746" s="33">
        <v>249.51240000000001</v>
      </c>
      <c r="K746" s="34"/>
    </row>
    <row r="747" spans="1:11" x14ac:dyDescent="0.25">
      <c r="A747" s="31"/>
      <c r="C747" s="32" t="s">
        <v>1343</v>
      </c>
      <c r="D747" s="32" t="s">
        <v>1344</v>
      </c>
      <c r="F747" s="33">
        <v>56.426400000000001</v>
      </c>
      <c r="K747" s="34"/>
    </row>
    <row r="748" spans="1:11" x14ac:dyDescent="0.25">
      <c r="A748" s="31"/>
      <c r="C748" s="32" t="s">
        <v>1345</v>
      </c>
      <c r="D748" s="32" t="s">
        <v>1346</v>
      </c>
      <c r="F748" s="33">
        <v>57.951000000000001</v>
      </c>
      <c r="K748" s="34"/>
    </row>
    <row r="749" spans="1:11" x14ac:dyDescent="0.25">
      <c r="A749" s="31"/>
      <c r="C749" s="32" t="s">
        <v>1347</v>
      </c>
      <c r="D749" s="32" t="s">
        <v>1348</v>
      </c>
      <c r="F749" s="33">
        <v>68.637</v>
      </c>
      <c r="K749" s="34"/>
    </row>
    <row r="750" spans="1:11" x14ac:dyDescent="0.25">
      <c r="A750" s="31"/>
      <c r="C750" s="32" t="s">
        <v>1349</v>
      </c>
      <c r="D750" s="32" t="s">
        <v>1350</v>
      </c>
      <c r="F750" s="33">
        <v>39.661499999999997</v>
      </c>
      <c r="K750" s="34"/>
    </row>
    <row r="751" spans="1:11" x14ac:dyDescent="0.25">
      <c r="A751" s="31"/>
      <c r="C751" s="32" t="s">
        <v>1351</v>
      </c>
      <c r="D751" s="32" t="s">
        <v>1352</v>
      </c>
      <c r="F751" s="33">
        <v>1.95</v>
      </c>
      <c r="K751" s="34"/>
    </row>
    <row r="752" spans="1:11" x14ac:dyDescent="0.25">
      <c r="A752" s="31"/>
      <c r="C752" s="32" t="s">
        <v>57</v>
      </c>
      <c r="D752" s="32" t="s">
        <v>1353</v>
      </c>
      <c r="F752" s="33">
        <v>1</v>
      </c>
      <c r="K752" s="34"/>
    </row>
    <row r="753" spans="1:75" x14ac:dyDescent="0.25">
      <c r="A753" s="31"/>
      <c r="C753" s="32" t="s">
        <v>1354</v>
      </c>
      <c r="D753" s="32" t="s">
        <v>1355</v>
      </c>
      <c r="F753" s="33">
        <v>85.8</v>
      </c>
      <c r="K753" s="34"/>
    </row>
    <row r="754" spans="1:75" x14ac:dyDescent="0.25">
      <c r="A754" s="31"/>
      <c r="C754" s="32" t="s">
        <v>1356</v>
      </c>
      <c r="D754" s="32" t="s">
        <v>1357</v>
      </c>
      <c r="F754" s="33">
        <v>4</v>
      </c>
      <c r="K754" s="34"/>
    </row>
    <row r="755" spans="1:75" x14ac:dyDescent="0.25">
      <c r="A755" s="31"/>
      <c r="C755" s="32" t="s">
        <v>1358</v>
      </c>
      <c r="D755" s="32" t="s">
        <v>1359</v>
      </c>
      <c r="F755" s="33">
        <v>4.8</v>
      </c>
      <c r="K755" s="34"/>
    </row>
    <row r="756" spans="1:75" x14ac:dyDescent="0.25">
      <c r="A756" s="31"/>
      <c r="C756" s="32" t="s">
        <v>1360</v>
      </c>
      <c r="D756" s="32" t="s">
        <v>1361</v>
      </c>
      <c r="F756" s="33">
        <v>1.8</v>
      </c>
      <c r="K756" s="34"/>
    </row>
    <row r="757" spans="1:75" x14ac:dyDescent="0.25">
      <c r="A757" s="31"/>
      <c r="C757" s="32" t="s">
        <v>1362</v>
      </c>
      <c r="D757" s="32" t="s">
        <v>1363</v>
      </c>
      <c r="F757" s="33">
        <v>2.9</v>
      </c>
      <c r="K757" s="34"/>
    </row>
    <row r="758" spans="1:75" ht="13.5" customHeight="1" x14ac:dyDescent="0.25">
      <c r="A758" s="2" t="s">
        <v>1364</v>
      </c>
      <c r="B758" s="3" t="s">
        <v>1321</v>
      </c>
      <c r="C758" s="83" t="s">
        <v>1365</v>
      </c>
      <c r="D758" s="80"/>
      <c r="E758" s="3" t="s">
        <v>148</v>
      </c>
      <c r="F758" s="28">
        <v>117.89932</v>
      </c>
      <c r="G758" s="28">
        <v>0</v>
      </c>
      <c r="H758" s="28">
        <f>F758*AO758</f>
        <v>0</v>
      </c>
      <c r="I758" s="28">
        <f>F758*AP758</f>
        <v>0</v>
      </c>
      <c r="J758" s="28">
        <f>F758*G758</f>
        <v>0</v>
      </c>
      <c r="K758" s="29" t="s">
        <v>61</v>
      </c>
      <c r="Z758" s="28">
        <f>IF(AQ758="5",BJ758,0)</f>
        <v>0</v>
      </c>
      <c r="AB758" s="28">
        <f>IF(AQ758="1",BH758,0)</f>
        <v>0</v>
      </c>
      <c r="AC758" s="28">
        <f>IF(AQ758="1",BI758,0)</f>
        <v>0</v>
      </c>
      <c r="AD758" s="28">
        <f>IF(AQ758="7",BH758,0)</f>
        <v>0</v>
      </c>
      <c r="AE758" s="28">
        <f>IF(AQ758="7",BI758,0)</f>
        <v>0</v>
      </c>
      <c r="AF758" s="28">
        <f>IF(AQ758="2",BH758,0)</f>
        <v>0</v>
      </c>
      <c r="AG758" s="28">
        <f>IF(AQ758="2",BI758,0)</f>
        <v>0</v>
      </c>
      <c r="AH758" s="28">
        <f>IF(AQ758="0",BJ758,0)</f>
        <v>0</v>
      </c>
      <c r="AI758" s="10" t="s">
        <v>236</v>
      </c>
      <c r="AJ758" s="28">
        <f>IF(AN758=0,J758,0)</f>
        <v>0</v>
      </c>
      <c r="AK758" s="28">
        <f>IF(AN758=12,J758,0)</f>
        <v>0</v>
      </c>
      <c r="AL758" s="28">
        <f>IF(AN758=21,J758,0)</f>
        <v>0</v>
      </c>
      <c r="AN758" s="28">
        <v>21</v>
      </c>
      <c r="AO758" s="28">
        <f>G758*0.413816874</f>
        <v>0</v>
      </c>
      <c r="AP758" s="28">
        <f>G758*(1-0.413816874)</f>
        <v>0</v>
      </c>
      <c r="AQ758" s="30" t="s">
        <v>98</v>
      </c>
      <c r="AV758" s="28">
        <f>AW758+AX758</f>
        <v>0</v>
      </c>
      <c r="AW758" s="28">
        <f>F758*AO758</f>
        <v>0</v>
      </c>
      <c r="AX758" s="28">
        <f>F758*AP758</f>
        <v>0</v>
      </c>
      <c r="AY758" s="30" t="s">
        <v>1313</v>
      </c>
      <c r="AZ758" s="30" t="s">
        <v>1267</v>
      </c>
      <c r="BA758" s="10" t="s">
        <v>242</v>
      </c>
      <c r="BC758" s="28">
        <f>AW758+AX758</f>
        <v>0</v>
      </c>
      <c r="BD758" s="28">
        <f>G758/(100-BE758)*100</f>
        <v>0</v>
      </c>
      <c r="BE758" s="28">
        <v>0</v>
      </c>
      <c r="BF758" s="28">
        <f>758</f>
        <v>758</v>
      </c>
      <c r="BH758" s="28">
        <f>F758*AO758</f>
        <v>0</v>
      </c>
      <c r="BI758" s="28">
        <f>F758*AP758</f>
        <v>0</v>
      </c>
      <c r="BJ758" s="28">
        <f>F758*G758</f>
        <v>0</v>
      </c>
      <c r="BK758" s="28"/>
      <c r="BL758" s="28">
        <v>783</v>
      </c>
      <c r="BW758" s="28">
        <v>21</v>
      </c>
    </row>
    <row r="759" spans="1:75" x14ac:dyDescent="0.25">
      <c r="A759" s="31"/>
      <c r="C759" s="32" t="s">
        <v>52</v>
      </c>
      <c r="D759" s="32" t="s">
        <v>1366</v>
      </c>
      <c r="F759" s="33">
        <v>0</v>
      </c>
      <c r="K759" s="34"/>
    </row>
    <row r="760" spans="1:75" x14ac:dyDescent="0.25">
      <c r="A760" s="31"/>
      <c r="C760" s="32" t="s">
        <v>1367</v>
      </c>
      <c r="D760" s="32" t="s">
        <v>1368</v>
      </c>
      <c r="F760" s="33">
        <v>17.687519999999999</v>
      </c>
      <c r="K760" s="34"/>
    </row>
    <row r="761" spans="1:75" x14ac:dyDescent="0.25">
      <c r="A761" s="31"/>
      <c r="C761" s="32" t="s">
        <v>1369</v>
      </c>
      <c r="D761" s="32" t="s">
        <v>1370</v>
      </c>
      <c r="F761" s="33">
        <v>1.2</v>
      </c>
      <c r="K761" s="34"/>
    </row>
    <row r="762" spans="1:75" x14ac:dyDescent="0.25">
      <c r="A762" s="31"/>
      <c r="C762" s="32" t="s">
        <v>52</v>
      </c>
      <c r="D762" s="32" t="s">
        <v>1371</v>
      </c>
      <c r="F762" s="33">
        <v>0</v>
      </c>
      <c r="K762" s="34"/>
    </row>
    <row r="763" spans="1:75" x14ac:dyDescent="0.25">
      <c r="A763" s="31"/>
      <c r="C763" s="32" t="s">
        <v>1372</v>
      </c>
      <c r="D763" s="32" t="s">
        <v>1368</v>
      </c>
      <c r="F763" s="33">
        <v>5.4527999999999999</v>
      </c>
      <c r="K763" s="34"/>
    </row>
    <row r="764" spans="1:75" x14ac:dyDescent="0.25">
      <c r="A764" s="31"/>
      <c r="C764" s="32" t="s">
        <v>1373</v>
      </c>
      <c r="D764" s="32" t="s">
        <v>1368</v>
      </c>
      <c r="F764" s="33">
        <v>4.2003599999999999</v>
      </c>
      <c r="K764" s="34"/>
    </row>
    <row r="765" spans="1:75" x14ac:dyDescent="0.25">
      <c r="A765" s="31"/>
      <c r="C765" s="32" t="s">
        <v>1374</v>
      </c>
      <c r="D765" s="32" t="s">
        <v>1368</v>
      </c>
      <c r="F765" s="33">
        <v>1.4228400000000001</v>
      </c>
      <c r="K765" s="34"/>
    </row>
    <row r="766" spans="1:75" x14ac:dyDescent="0.25">
      <c r="A766" s="31"/>
      <c r="C766" s="32" t="s">
        <v>1375</v>
      </c>
      <c r="D766" s="32" t="s">
        <v>1370</v>
      </c>
      <c r="F766" s="33">
        <v>2.4</v>
      </c>
      <c r="K766" s="34"/>
    </row>
    <row r="767" spans="1:75" x14ac:dyDescent="0.25">
      <c r="A767" s="31"/>
      <c r="C767" s="32" t="s">
        <v>52</v>
      </c>
      <c r="D767" s="32" t="s">
        <v>1376</v>
      </c>
      <c r="F767" s="33">
        <v>0</v>
      </c>
      <c r="K767" s="34"/>
    </row>
    <row r="768" spans="1:75" x14ac:dyDescent="0.25">
      <c r="A768" s="31"/>
      <c r="C768" s="32" t="s">
        <v>1377</v>
      </c>
      <c r="D768" s="32" t="s">
        <v>1378</v>
      </c>
      <c r="F768" s="33">
        <v>1.8360000000000001</v>
      </c>
      <c r="K768" s="34"/>
    </row>
    <row r="769" spans="1:11" x14ac:dyDescent="0.25">
      <c r="A769" s="31"/>
      <c r="C769" s="32" t="s">
        <v>52</v>
      </c>
      <c r="D769" s="32" t="s">
        <v>1379</v>
      </c>
      <c r="F769" s="33">
        <v>0</v>
      </c>
      <c r="K769" s="34"/>
    </row>
    <row r="770" spans="1:11" x14ac:dyDescent="0.25">
      <c r="A770" s="31"/>
      <c r="C770" s="32" t="s">
        <v>1380</v>
      </c>
      <c r="D770" s="32" t="s">
        <v>1378</v>
      </c>
      <c r="F770" s="33">
        <v>7.3440000000000003</v>
      </c>
      <c r="K770" s="34"/>
    </row>
    <row r="771" spans="1:11" x14ac:dyDescent="0.25">
      <c r="A771" s="31"/>
      <c r="C771" s="32" t="s">
        <v>1381</v>
      </c>
      <c r="D771" s="32" t="s">
        <v>1382</v>
      </c>
      <c r="F771" s="33">
        <v>7.68</v>
      </c>
      <c r="K771" s="34"/>
    </row>
    <row r="772" spans="1:11" x14ac:dyDescent="0.25">
      <c r="A772" s="31"/>
      <c r="C772" s="32" t="s">
        <v>52</v>
      </c>
      <c r="D772" s="32" t="s">
        <v>1383</v>
      </c>
      <c r="F772" s="33">
        <v>0</v>
      </c>
      <c r="K772" s="34"/>
    </row>
    <row r="773" spans="1:11" x14ac:dyDescent="0.25">
      <c r="A773" s="31"/>
      <c r="C773" s="32" t="s">
        <v>1384</v>
      </c>
      <c r="D773" s="32" t="s">
        <v>1385</v>
      </c>
      <c r="F773" s="33">
        <v>12.9438</v>
      </c>
      <c r="K773" s="34"/>
    </row>
    <row r="774" spans="1:11" x14ac:dyDescent="0.25">
      <c r="A774" s="31"/>
      <c r="C774" s="32" t="s">
        <v>52</v>
      </c>
      <c r="D774" s="32" t="s">
        <v>1386</v>
      </c>
      <c r="F774" s="33">
        <v>0</v>
      </c>
      <c r="K774" s="34"/>
    </row>
    <row r="775" spans="1:11" x14ac:dyDescent="0.25">
      <c r="A775" s="31"/>
      <c r="C775" s="32" t="s">
        <v>1387</v>
      </c>
      <c r="D775" s="32" t="s">
        <v>1388</v>
      </c>
      <c r="F775" s="33">
        <v>19.2</v>
      </c>
      <c r="K775" s="34"/>
    </row>
    <row r="776" spans="1:11" x14ac:dyDescent="0.25">
      <c r="A776" s="31"/>
      <c r="C776" s="32" t="s">
        <v>1389</v>
      </c>
      <c r="D776" s="32" t="s">
        <v>1390</v>
      </c>
      <c r="F776" s="33">
        <v>3.5</v>
      </c>
      <c r="K776" s="34"/>
    </row>
    <row r="777" spans="1:11" x14ac:dyDescent="0.25">
      <c r="A777" s="31"/>
      <c r="C777" s="32" t="s">
        <v>52</v>
      </c>
      <c r="D777" s="32" t="s">
        <v>1391</v>
      </c>
      <c r="F777" s="33">
        <v>0</v>
      </c>
      <c r="K777" s="34"/>
    </row>
    <row r="778" spans="1:11" x14ac:dyDescent="0.25">
      <c r="A778" s="31"/>
      <c r="C778" s="32" t="s">
        <v>1392</v>
      </c>
      <c r="D778" s="32" t="s">
        <v>1393</v>
      </c>
      <c r="F778" s="33">
        <v>10.584</v>
      </c>
      <c r="K778" s="34"/>
    </row>
    <row r="779" spans="1:11" x14ac:dyDescent="0.25">
      <c r="A779" s="31"/>
      <c r="C779" s="32" t="s">
        <v>52</v>
      </c>
      <c r="D779" s="32" t="s">
        <v>1394</v>
      </c>
      <c r="F779" s="33">
        <v>0</v>
      </c>
      <c r="K779" s="34"/>
    </row>
    <row r="780" spans="1:11" x14ac:dyDescent="0.25">
      <c r="A780" s="31"/>
      <c r="C780" s="32" t="s">
        <v>1395</v>
      </c>
      <c r="D780" s="32" t="s">
        <v>1396</v>
      </c>
      <c r="F780" s="33">
        <v>10.56</v>
      </c>
      <c r="K780" s="34"/>
    </row>
    <row r="781" spans="1:11" x14ac:dyDescent="0.25">
      <c r="A781" s="31"/>
      <c r="C781" s="32" t="s">
        <v>1397</v>
      </c>
      <c r="D781" s="32" t="s">
        <v>1398</v>
      </c>
      <c r="F781" s="33">
        <v>0.5</v>
      </c>
      <c r="K781" s="34"/>
    </row>
    <row r="782" spans="1:11" x14ac:dyDescent="0.25">
      <c r="A782" s="31"/>
      <c r="C782" s="32" t="s">
        <v>52</v>
      </c>
      <c r="D782" s="32" t="s">
        <v>1399</v>
      </c>
      <c r="F782" s="33">
        <v>0</v>
      </c>
      <c r="K782" s="34"/>
    </row>
    <row r="783" spans="1:11" x14ac:dyDescent="0.25">
      <c r="A783" s="31"/>
      <c r="C783" s="32" t="s">
        <v>1400</v>
      </c>
      <c r="D783" s="32" t="s">
        <v>1401</v>
      </c>
      <c r="F783" s="33">
        <v>5.88</v>
      </c>
      <c r="K783" s="34"/>
    </row>
    <row r="784" spans="1:11" x14ac:dyDescent="0.25">
      <c r="A784" s="31"/>
      <c r="C784" s="32" t="s">
        <v>52</v>
      </c>
      <c r="D784" s="32" t="s">
        <v>1402</v>
      </c>
      <c r="F784" s="33">
        <v>0</v>
      </c>
      <c r="K784" s="34"/>
    </row>
    <row r="785" spans="1:75" x14ac:dyDescent="0.25">
      <c r="A785" s="31"/>
      <c r="C785" s="32" t="s">
        <v>1403</v>
      </c>
      <c r="D785" s="32" t="s">
        <v>1385</v>
      </c>
      <c r="F785" s="33">
        <v>5.508</v>
      </c>
      <c r="K785" s="34"/>
    </row>
    <row r="786" spans="1:75" x14ac:dyDescent="0.25">
      <c r="A786" s="24" t="s">
        <v>52</v>
      </c>
      <c r="B786" s="25" t="s">
        <v>1404</v>
      </c>
      <c r="C786" s="139" t="s">
        <v>1405</v>
      </c>
      <c r="D786" s="140"/>
      <c r="E786" s="26" t="s">
        <v>4</v>
      </c>
      <c r="F786" s="26" t="s">
        <v>4</v>
      </c>
      <c r="G786" s="26" t="s">
        <v>4</v>
      </c>
      <c r="H786" s="1">
        <f>SUM(H787:H796)</f>
        <v>0</v>
      </c>
      <c r="I786" s="1">
        <f>SUM(I787:I796)</f>
        <v>0</v>
      </c>
      <c r="J786" s="1">
        <f>SUM(J787:J796)</f>
        <v>0</v>
      </c>
      <c r="K786" s="27" t="s">
        <v>52</v>
      </c>
      <c r="AI786" s="10" t="s">
        <v>236</v>
      </c>
      <c r="AS786" s="1">
        <f>SUM(AJ787:AJ796)</f>
        <v>0</v>
      </c>
      <c r="AT786" s="1">
        <f>SUM(AK787:AK796)</f>
        <v>0</v>
      </c>
      <c r="AU786" s="1">
        <f>SUM(AL787:AL796)</f>
        <v>0</v>
      </c>
    </row>
    <row r="787" spans="1:75" ht="13.5" customHeight="1" x14ac:dyDescent="0.25">
      <c r="A787" s="2" t="s">
        <v>1406</v>
      </c>
      <c r="B787" s="3" t="s">
        <v>1407</v>
      </c>
      <c r="C787" s="83" t="s">
        <v>1408</v>
      </c>
      <c r="D787" s="80"/>
      <c r="E787" s="3" t="s">
        <v>148</v>
      </c>
      <c r="F787" s="28">
        <v>442.96</v>
      </c>
      <c r="G787" s="28">
        <v>0</v>
      </c>
      <c r="H787" s="28">
        <f>F787*AO787</f>
        <v>0</v>
      </c>
      <c r="I787" s="28">
        <f>F787*AP787</f>
        <v>0</v>
      </c>
      <c r="J787" s="28">
        <f>F787*G787</f>
        <v>0</v>
      </c>
      <c r="K787" s="29" t="s">
        <v>61</v>
      </c>
      <c r="Z787" s="28">
        <f>IF(AQ787="5",BJ787,0)</f>
        <v>0</v>
      </c>
      <c r="AB787" s="28">
        <f>IF(AQ787="1",BH787,0)</f>
        <v>0</v>
      </c>
      <c r="AC787" s="28">
        <f>IF(AQ787="1",BI787,0)</f>
        <v>0</v>
      </c>
      <c r="AD787" s="28">
        <f>IF(AQ787="7",BH787,0)</f>
        <v>0</v>
      </c>
      <c r="AE787" s="28">
        <f>IF(AQ787="7",BI787,0)</f>
        <v>0</v>
      </c>
      <c r="AF787" s="28">
        <f>IF(AQ787="2",BH787,0)</f>
        <v>0</v>
      </c>
      <c r="AG787" s="28">
        <f>IF(AQ787="2",BI787,0)</f>
        <v>0</v>
      </c>
      <c r="AH787" s="28">
        <f>IF(AQ787="0",BJ787,0)</f>
        <v>0</v>
      </c>
      <c r="AI787" s="10" t="s">
        <v>236</v>
      </c>
      <c r="AJ787" s="28">
        <f>IF(AN787=0,J787,0)</f>
        <v>0</v>
      </c>
      <c r="AK787" s="28">
        <f>IF(AN787=12,J787,0)</f>
        <v>0</v>
      </c>
      <c r="AL787" s="28">
        <f>IF(AN787=21,J787,0)</f>
        <v>0</v>
      </c>
      <c r="AN787" s="28">
        <v>21</v>
      </c>
      <c r="AO787" s="28">
        <f>G787*0</f>
        <v>0</v>
      </c>
      <c r="AP787" s="28">
        <f>G787*(1-0)</f>
        <v>0</v>
      </c>
      <c r="AQ787" s="30" t="s">
        <v>98</v>
      </c>
      <c r="AV787" s="28">
        <f>AW787+AX787</f>
        <v>0</v>
      </c>
      <c r="AW787" s="28">
        <f>F787*AO787</f>
        <v>0</v>
      </c>
      <c r="AX787" s="28">
        <f>F787*AP787</f>
        <v>0</v>
      </c>
      <c r="AY787" s="30" t="s">
        <v>1409</v>
      </c>
      <c r="AZ787" s="30" t="s">
        <v>1267</v>
      </c>
      <c r="BA787" s="10" t="s">
        <v>242</v>
      </c>
      <c r="BC787" s="28">
        <f>AW787+AX787</f>
        <v>0</v>
      </c>
      <c r="BD787" s="28">
        <f>G787/(100-BE787)*100</f>
        <v>0</v>
      </c>
      <c r="BE787" s="28">
        <v>0</v>
      </c>
      <c r="BF787" s="28">
        <f>787</f>
        <v>787</v>
      </c>
      <c r="BH787" s="28">
        <f>F787*AO787</f>
        <v>0</v>
      </c>
      <c r="BI787" s="28">
        <f>F787*AP787</f>
        <v>0</v>
      </c>
      <c r="BJ787" s="28">
        <f>F787*G787</f>
        <v>0</v>
      </c>
      <c r="BK787" s="28"/>
      <c r="BL787" s="28">
        <v>784</v>
      </c>
      <c r="BW787" s="28">
        <v>21</v>
      </c>
    </row>
    <row r="788" spans="1:75" x14ac:dyDescent="0.25">
      <c r="A788" s="31"/>
      <c r="C788" s="32" t="s">
        <v>1410</v>
      </c>
      <c r="D788" s="32" t="s">
        <v>1411</v>
      </c>
      <c r="F788" s="33">
        <v>442.96</v>
      </c>
      <c r="K788" s="34"/>
    </row>
    <row r="789" spans="1:75" ht="13.5" customHeight="1" x14ac:dyDescent="0.25">
      <c r="A789" s="2" t="s">
        <v>1412</v>
      </c>
      <c r="B789" s="3" t="s">
        <v>1413</v>
      </c>
      <c r="C789" s="83" t="s">
        <v>1414</v>
      </c>
      <c r="D789" s="80"/>
      <c r="E789" s="3" t="s">
        <v>148</v>
      </c>
      <c r="F789" s="28">
        <v>140</v>
      </c>
      <c r="G789" s="28">
        <v>0</v>
      </c>
      <c r="H789" s="28">
        <f>F789*AO789</f>
        <v>0</v>
      </c>
      <c r="I789" s="28">
        <f>F789*AP789</f>
        <v>0</v>
      </c>
      <c r="J789" s="28">
        <f>F789*G789</f>
        <v>0</v>
      </c>
      <c r="K789" s="29" t="s">
        <v>61</v>
      </c>
      <c r="Z789" s="28">
        <f>IF(AQ789="5",BJ789,0)</f>
        <v>0</v>
      </c>
      <c r="AB789" s="28">
        <f>IF(AQ789="1",BH789,0)</f>
        <v>0</v>
      </c>
      <c r="AC789" s="28">
        <f>IF(AQ789="1",BI789,0)</f>
        <v>0</v>
      </c>
      <c r="AD789" s="28">
        <f>IF(AQ789="7",BH789,0)</f>
        <v>0</v>
      </c>
      <c r="AE789" s="28">
        <f>IF(AQ789="7",BI789,0)</f>
        <v>0</v>
      </c>
      <c r="AF789" s="28">
        <f>IF(AQ789="2",BH789,0)</f>
        <v>0</v>
      </c>
      <c r="AG789" s="28">
        <f>IF(AQ789="2",BI789,0)</f>
        <v>0</v>
      </c>
      <c r="AH789" s="28">
        <f>IF(AQ789="0",BJ789,0)</f>
        <v>0</v>
      </c>
      <c r="AI789" s="10" t="s">
        <v>236</v>
      </c>
      <c r="AJ789" s="28">
        <f>IF(AN789=0,J789,0)</f>
        <v>0</v>
      </c>
      <c r="AK789" s="28">
        <f>IF(AN789=12,J789,0)</f>
        <v>0</v>
      </c>
      <c r="AL789" s="28">
        <f>IF(AN789=21,J789,0)</f>
        <v>0</v>
      </c>
      <c r="AN789" s="28">
        <v>21</v>
      </c>
      <c r="AO789" s="28">
        <f>G789*0.64223301</f>
        <v>0</v>
      </c>
      <c r="AP789" s="28">
        <f>G789*(1-0.64223301)</f>
        <v>0</v>
      </c>
      <c r="AQ789" s="30" t="s">
        <v>98</v>
      </c>
      <c r="AV789" s="28">
        <f>AW789+AX789</f>
        <v>0</v>
      </c>
      <c r="AW789" s="28">
        <f>F789*AO789</f>
        <v>0</v>
      </c>
      <c r="AX789" s="28">
        <f>F789*AP789</f>
        <v>0</v>
      </c>
      <c r="AY789" s="30" t="s">
        <v>1409</v>
      </c>
      <c r="AZ789" s="30" t="s">
        <v>1267</v>
      </c>
      <c r="BA789" s="10" t="s">
        <v>242</v>
      </c>
      <c r="BC789" s="28">
        <f>AW789+AX789</f>
        <v>0</v>
      </c>
      <c r="BD789" s="28">
        <f>G789/(100-BE789)*100</f>
        <v>0</v>
      </c>
      <c r="BE789" s="28">
        <v>0</v>
      </c>
      <c r="BF789" s="28">
        <f>789</f>
        <v>789</v>
      </c>
      <c r="BH789" s="28">
        <f>F789*AO789</f>
        <v>0</v>
      </c>
      <c r="BI789" s="28">
        <f>F789*AP789</f>
        <v>0</v>
      </c>
      <c r="BJ789" s="28">
        <f>F789*G789</f>
        <v>0</v>
      </c>
      <c r="BK789" s="28"/>
      <c r="BL789" s="28">
        <v>784</v>
      </c>
      <c r="BW789" s="28">
        <v>21</v>
      </c>
    </row>
    <row r="790" spans="1:75" x14ac:dyDescent="0.25">
      <c r="A790" s="31"/>
      <c r="C790" s="32" t="s">
        <v>1415</v>
      </c>
      <c r="D790" s="32" t="s">
        <v>1416</v>
      </c>
      <c r="F790" s="33">
        <v>70</v>
      </c>
      <c r="K790" s="34"/>
    </row>
    <row r="791" spans="1:75" x14ac:dyDescent="0.25">
      <c r="A791" s="31"/>
      <c r="C791" s="32" t="s">
        <v>1415</v>
      </c>
      <c r="D791" s="32" t="s">
        <v>52</v>
      </c>
      <c r="F791" s="33">
        <v>70</v>
      </c>
      <c r="K791" s="34"/>
    </row>
    <row r="792" spans="1:75" ht="13.5" customHeight="1" x14ac:dyDescent="0.25">
      <c r="A792" s="2" t="s">
        <v>1417</v>
      </c>
      <c r="B792" s="3" t="s">
        <v>1418</v>
      </c>
      <c r="C792" s="83" t="s">
        <v>1419</v>
      </c>
      <c r="D792" s="80"/>
      <c r="E792" s="3" t="s">
        <v>148</v>
      </c>
      <c r="F792" s="28">
        <v>240.005</v>
      </c>
      <c r="G792" s="28">
        <v>0</v>
      </c>
      <c r="H792" s="28">
        <f>F792*AO792</f>
        <v>0</v>
      </c>
      <c r="I792" s="28">
        <f>F792*AP792</f>
        <v>0</v>
      </c>
      <c r="J792" s="28">
        <f>F792*G792</f>
        <v>0</v>
      </c>
      <c r="K792" s="29" t="s">
        <v>61</v>
      </c>
      <c r="Z792" s="28">
        <f>IF(AQ792="5",BJ792,0)</f>
        <v>0</v>
      </c>
      <c r="AB792" s="28">
        <f>IF(AQ792="1",BH792,0)</f>
        <v>0</v>
      </c>
      <c r="AC792" s="28">
        <f>IF(AQ792="1",BI792,0)</f>
        <v>0</v>
      </c>
      <c r="AD792" s="28">
        <f>IF(AQ792="7",BH792,0)</f>
        <v>0</v>
      </c>
      <c r="AE792" s="28">
        <f>IF(AQ792="7",BI792,0)</f>
        <v>0</v>
      </c>
      <c r="AF792" s="28">
        <f>IF(AQ792="2",BH792,0)</f>
        <v>0</v>
      </c>
      <c r="AG792" s="28">
        <f>IF(AQ792="2",BI792,0)</f>
        <v>0</v>
      </c>
      <c r="AH792" s="28">
        <f>IF(AQ792="0",BJ792,0)</f>
        <v>0</v>
      </c>
      <c r="AI792" s="10" t="s">
        <v>236</v>
      </c>
      <c r="AJ792" s="28">
        <f>IF(AN792=0,J792,0)</f>
        <v>0</v>
      </c>
      <c r="AK792" s="28">
        <f>IF(AN792=12,J792,0)</f>
        <v>0</v>
      </c>
      <c r="AL792" s="28">
        <f>IF(AN792=21,J792,0)</f>
        <v>0</v>
      </c>
      <c r="AN792" s="28">
        <v>21</v>
      </c>
      <c r="AO792" s="28">
        <f>G792*0.309398642</f>
        <v>0</v>
      </c>
      <c r="AP792" s="28">
        <f>G792*(1-0.309398642)</f>
        <v>0</v>
      </c>
      <c r="AQ792" s="30" t="s">
        <v>98</v>
      </c>
      <c r="AV792" s="28">
        <f>AW792+AX792</f>
        <v>0</v>
      </c>
      <c r="AW792" s="28">
        <f>F792*AO792</f>
        <v>0</v>
      </c>
      <c r="AX792" s="28">
        <f>F792*AP792</f>
        <v>0</v>
      </c>
      <c r="AY792" s="30" t="s">
        <v>1409</v>
      </c>
      <c r="AZ792" s="30" t="s">
        <v>1267</v>
      </c>
      <c r="BA792" s="10" t="s">
        <v>242</v>
      </c>
      <c r="BC792" s="28">
        <f>AW792+AX792</f>
        <v>0</v>
      </c>
      <c r="BD792" s="28">
        <f>G792/(100-BE792)*100</f>
        <v>0</v>
      </c>
      <c r="BE792" s="28">
        <v>0</v>
      </c>
      <c r="BF792" s="28">
        <f>792</f>
        <v>792</v>
      </c>
      <c r="BH792" s="28">
        <f>F792*AO792</f>
        <v>0</v>
      </c>
      <c r="BI792" s="28">
        <f>F792*AP792</f>
        <v>0</v>
      </c>
      <c r="BJ792" s="28">
        <f>F792*G792</f>
        <v>0</v>
      </c>
      <c r="BK792" s="28"/>
      <c r="BL792" s="28">
        <v>784</v>
      </c>
      <c r="BW792" s="28">
        <v>21</v>
      </c>
    </row>
    <row r="793" spans="1:75" x14ac:dyDescent="0.25">
      <c r="A793" s="31"/>
      <c r="C793" s="32" t="s">
        <v>322</v>
      </c>
      <c r="D793" s="32" t="s">
        <v>323</v>
      </c>
      <c r="F793" s="33">
        <v>65.745000000000005</v>
      </c>
      <c r="K793" s="34"/>
    </row>
    <row r="794" spans="1:75" x14ac:dyDescent="0.25">
      <c r="A794" s="31"/>
      <c r="C794" s="32" t="s">
        <v>316</v>
      </c>
      <c r="D794" s="32" t="s">
        <v>324</v>
      </c>
      <c r="F794" s="33">
        <v>174.26</v>
      </c>
      <c r="K794" s="34"/>
    </row>
    <row r="795" spans="1:75" ht="13.5" customHeight="1" x14ac:dyDescent="0.25">
      <c r="A795" s="2" t="s">
        <v>1420</v>
      </c>
      <c r="B795" s="3" t="s">
        <v>1421</v>
      </c>
      <c r="C795" s="83" t="s">
        <v>1422</v>
      </c>
      <c r="D795" s="80"/>
      <c r="E795" s="3" t="s">
        <v>148</v>
      </c>
      <c r="F795" s="28">
        <v>240.005</v>
      </c>
      <c r="G795" s="28">
        <v>0</v>
      </c>
      <c r="H795" s="28">
        <f>F795*AO795</f>
        <v>0</v>
      </c>
      <c r="I795" s="28">
        <f>F795*AP795</f>
        <v>0</v>
      </c>
      <c r="J795" s="28">
        <f>F795*G795</f>
        <v>0</v>
      </c>
      <c r="K795" s="29" t="s">
        <v>61</v>
      </c>
      <c r="Z795" s="28">
        <f>IF(AQ795="5",BJ795,0)</f>
        <v>0</v>
      </c>
      <c r="AB795" s="28">
        <f>IF(AQ795="1",BH795,0)</f>
        <v>0</v>
      </c>
      <c r="AC795" s="28">
        <f>IF(AQ795="1",BI795,0)</f>
        <v>0</v>
      </c>
      <c r="AD795" s="28">
        <f>IF(AQ795="7",BH795,0)</f>
        <v>0</v>
      </c>
      <c r="AE795" s="28">
        <f>IF(AQ795="7",BI795,0)</f>
        <v>0</v>
      </c>
      <c r="AF795" s="28">
        <f>IF(AQ795="2",BH795,0)</f>
        <v>0</v>
      </c>
      <c r="AG795" s="28">
        <f>IF(AQ795="2",BI795,0)</f>
        <v>0</v>
      </c>
      <c r="AH795" s="28">
        <f>IF(AQ795="0",BJ795,0)</f>
        <v>0</v>
      </c>
      <c r="AI795" s="10" t="s">
        <v>236</v>
      </c>
      <c r="AJ795" s="28">
        <f>IF(AN795=0,J795,0)</f>
        <v>0</v>
      </c>
      <c r="AK795" s="28">
        <f>IF(AN795=12,J795,0)</f>
        <v>0</v>
      </c>
      <c r="AL795" s="28">
        <f>IF(AN795=21,J795,0)</f>
        <v>0</v>
      </c>
      <c r="AN795" s="28">
        <v>21</v>
      </c>
      <c r="AO795" s="28">
        <f>G795*0.253316057</f>
        <v>0</v>
      </c>
      <c r="AP795" s="28">
        <f>G795*(1-0.253316057)</f>
        <v>0</v>
      </c>
      <c r="AQ795" s="30" t="s">
        <v>98</v>
      </c>
      <c r="AV795" s="28">
        <f>AW795+AX795</f>
        <v>0</v>
      </c>
      <c r="AW795" s="28">
        <f>F795*AO795</f>
        <v>0</v>
      </c>
      <c r="AX795" s="28">
        <f>F795*AP795</f>
        <v>0</v>
      </c>
      <c r="AY795" s="30" t="s">
        <v>1409</v>
      </c>
      <c r="AZ795" s="30" t="s">
        <v>1267</v>
      </c>
      <c r="BA795" s="10" t="s">
        <v>242</v>
      </c>
      <c r="BC795" s="28">
        <f>AW795+AX795</f>
        <v>0</v>
      </c>
      <c r="BD795" s="28">
        <f>G795/(100-BE795)*100</f>
        <v>0</v>
      </c>
      <c r="BE795" s="28">
        <v>0</v>
      </c>
      <c r="BF795" s="28">
        <f>795</f>
        <v>795</v>
      </c>
      <c r="BH795" s="28">
        <f>F795*AO795</f>
        <v>0</v>
      </c>
      <c r="BI795" s="28">
        <f>F795*AP795</f>
        <v>0</v>
      </c>
      <c r="BJ795" s="28">
        <f>F795*G795</f>
        <v>0</v>
      </c>
      <c r="BK795" s="28"/>
      <c r="BL795" s="28">
        <v>784</v>
      </c>
      <c r="BW795" s="28">
        <v>21</v>
      </c>
    </row>
    <row r="796" spans="1:75" ht="13.5" customHeight="1" x14ac:dyDescent="0.25">
      <c r="A796" s="2" t="s">
        <v>1423</v>
      </c>
      <c r="B796" s="3" t="s">
        <v>1424</v>
      </c>
      <c r="C796" s="83" t="s">
        <v>1425</v>
      </c>
      <c r="D796" s="80"/>
      <c r="E796" s="3" t="s">
        <v>148</v>
      </c>
      <c r="F796" s="28">
        <v>4.3</v>
      </c>
      <c r="G796" s="28">
        <v>0</v>
      </c>
      <c r="H796" s="28">
        <f>F796*AO796</f>
        <v>0</v>
      </c>
      <c r="I796" s="28">
        <f>F796*AP796</f>
        <v>0</v>
      </c>
      <c r="J796" s="28">
        <f>F796*G796</f>
        <v>0</v>
      </c>
      <c r="K796" s="29" t="s">
        <v>61</v>
      </c>
      <c r="Z796" s="28">
        <f>IF(AQ796="5",BJ796,0)</f>
        <v>0</v>
      </c>
      <c r="AB796" s="28">
        <f>IF(AQ796="1",BH796,0)</f>
        <v>0</v>
      </c>
      <c r="AC796" s="28">
        <f>IF(AQ796="1",BI796,0)</f>
        <v>0</v>
      </c>
      <c r="AD796" s="28">
        <f>IF(AQ796="7",BH796,0)</f>
        <v>0</v>
      </c>
      <c r="AE796" s="28">
        <f>IF(AQ796="7",BI796,0)</f>
        <v>0</v>
      </c>
      <c r="AF796" s="28">
        <f>IF(AQ796="2",BH796,0)</f>
        <v>0</v>
      </c>
      <c r="AG796" s="28">
        <f>IF(AQ796="2",BI796,0)</f>
        <v>0</v>
      </c>
      <c r="AH796" s="28">
        <f>IF(AQ796="0",BJ796,0)</f>
        <v>0</v>
      </c>
      <c r="AI796" s="10" t="s">
        <v>236</v>
      </c>
      <c r="AJ796" s="28">
        <f>IF(AN796=0,J796,0)</f>
        <v>0</v>
      </c>
      <c r="AK796" s="28">
        <f>IF(AN796=12,J796,0)</f>
        <v>0</v>
      </c>
      <c r="AL796" s="28">
        <f>IF(AN796=21,J796,0)</f>
        <v>0</v>
      </c>
      <c r="AN796" s="28">
        <v>21</v>
      </c>
      <c r="AO796" s="28">
        <f>G796*0.236980911</f>
        <v>0</v>
      </c>
      <c r="AP796" s="28">
        <f>G796*(1-0.236980911)</f>
        <v>0</v>
      </c>
      <c r="AQ796" s="30" t="s">
        <v>98</v>
      </c>
      <c r="AV796" s="28">
        <f>AW796+AX796</f>
        <v>0</v>
      </c>
      <c r="AW796" s="28">
        <f>F796*AO796</f>
        <v>0</v>
      </c>
      <c r="AX796" s="28">
        <f>F796*AP796</f>
        <v>0</v>
      </c>
      <c r="AY796" s="30" t="s">
        <v>1409</v>
      </c>
      <c r="AZ796" s="30" t="s">
        <v>1267</v>
      </c>
      <c r="BA796" s="10" t="s">
        <v>242</v>
      </c>
      <c r="BC796" s="28">
        <f>AW796+AX796</f>
        <v>0</v>
      </c>
      <c r="BD796" s="28">
        <f>G796/(100-BE796)*100</f>
        <v>0</v>
      </c>
      <c r="BE796" s="28">
        <v>0</v>
      </c>
      <c r="BF796" s="28">
        <f>796</f>
        <v>796</v>
      </c>
      <c r="BH796" s="28">
        <f>F796*AO796</f>
        <v>0</v>
      </c>
      <c r="BI796" s="28">
        <f>F796*AP796</f>
        <v>0</v>
      </c>
      <c r="BJ796" s="28">
        <f>F796*G796</f>
        <v>0</v>
      </c>
      <c r="BK796" s="28"/>
      <c r="BL796" s="28">
        <v>784</v>
      </c>
      <c r="BW796" s="28">
        <v>21</v>
      </c>
    </row>
    <row r="797" spans="1:75" x14ac:dyDescent="0.25">
      <c r="A797" s="31"/>
      <c r="C797" s="32" t="s">
        <v>620</v>
      </c>
      <c r="D797" s="32" t="s">
        <v>52</v>
      </c>
      <c r="F797" s="33">
        <v>4.3</v>
      </c>
      <c r="K797" s="34"/>
    </row>
    <row r="798" spans="1:75" x14ac:dyDescent="0.25">
      <c r="A798" s="24" t="s">
        <v>52</v>
      </c>
      <c r="B798" s="25" t="s">
        <v>667</v>
      </c>
      <c r="C798" s="139" t="s">
        <v>1426</v>
      </c>
      <c r="D798" s="140"/>
      <c r="E798" s="26" t="s">
        <v>4</v>
      </c>
      <c r="F798" s="26" t="s">
        <v>4</v>
      </c>
      <c r="G798" s="26" t="s">
        <v>4</v>
      </c>
      <c r="H798" s="1">
        <f>SUM(H799:H799)</f>
        <v>0</v>
      </c>
      <c r="I798" s="1">
        <f>SUM(I799:I799)</f>
        <v>0</v>
      </c>
      <c r="J798" s="1">
        <f>SUM(J799:J799)</f>
        <v>0</v>
      </c>
      <c r="K798" s="27" t="s">
        <v>52</v>
      </c>
      <c r="AI798" s="10" t="s">
        <v>236</v>
      </c>
      <c r="AS798" s="1">
        <f>SUM(AJ799:AJ799)</f>
        <v>0</v>
      </c>
      <c r="AT798" s="1">
        <f>SUM(AK799:AK799)</f>
        <v>0</v>
      </c>
      <c r="AU798" s="1">
        <f>SUM(AL799:AL799)</f>
        <v>0</v>
      </c>
    </row>
    <row r="799" spans="1:75" ht="27" customHeight="1" x14ac:dyDescent="0.25">
      <c r="A799" s="2" t="s">
        <v>1427</v>
      </c>
      <c r="B799" s="3" t="s">
        <v>1428</v>
      </c>
      <c r="C799" s="83" t="s">
        <v>1429</v>
      </c>
      <c r="D799" s="80"/>
      <c r="E799" s="3" t="s">
        <v>1430</v>
      </c>
      <c r="F799" s="28">
        <v>20</v>
      </c>
      <c r="G799" s="28">
        <v>0</v>
      </c>
      <c r="H799" s="28">
        <f>F799*AO799</f>
        <v>0</v>
      </c>
      <c r="I799" s="28">
        <f>F799*AP799</f>
        <v>0</v>
      </c>
      <c r="J799" s="28">
        <f>F799*G799</f>
        <v>0</v>
      </c>
      <c r="K799" s="29" t="s">
        <v>61</v>
      </c>
      <c r="Z799" s="28">
        <f>IF(AQ799="5",BJ799,0)</f>
        <v>0</v>
      </c>
      <c r="AB799" s="28">
        <f>IF(AQ799="1",BH799,0)</f>
        <v>0</v>
      </c>
      <c r="AC799" s="28">
        <f>IF(AQ799="1",BI799,0)</f>
        <v>0</v>
      </c>
      <c r="AD799" s="28">
        <f>IF(AQ799="7",BH799,0)</f>
        <v>0</v>
      </c>
      <c r="AE799" s="28">
        <f>IF(AQ799="7",BI799,0)</f>
        <v>0</v>
      </c>
      <c r="AF799" s="28">
        <f>IF(AQ799="2",BH799,0)</f>
        <v>0</v>
      </c>
      <c r="AG799" s="28">
        <f>IF(AQ799="2",BI799,0)</f>
        <v>0</v>
      </c>
      <c r="AH799" s="28">
        <f>IF(AQ799="0",BJ799,0)</f>
        <v>0</v>
      </c>
      <c r="AI799" s="10" t="s">
        <v>236</v>
      </c>
      <c r="AJ799" s="28">
        <f>IF(AN799=0,J799,0)</f>
        <v>0</v>
      </c>
      <c r="AK799" s="28">
        <f>IF(AN799=12,J799,0)</f>
        <v>0</v>
      </c>
      <c r="AL799" s="28">
        <f>IF(AN799=21,J799,0)</f>
        <v>0</v>
      </c>
      <c r="AN799" s="28">
        <v>21</v>
      </c>
      <c r="AO799" s="28">
        <f>G799*0</f>
        <v>0</v>
      </c>
      <c r="AP799" s="28">
        <f>G799*(1-0)</f>
        <v>0</v>
      </c>
      <c r="AQ799" s="30" t="s">
        <v>57</v>
      </c>
      <c r="AV799" s="28">
        <f>AW799+AX799</f>
        <v>0</v>
      </c>
      <c r="AW799" s="28">
        <f>F799*AO799</f>
        <v>0</v>
      </c>
      <c r="AX799" s="28">
        <f>F799*AP799</f>
        <v>0</v>
      </c>
      <c r="AY799" s="30" t="s">
        <v>1431</v>
      </c>
      <c r="AZ799" s="30" t="s">
        <v>328</v>
      </c>
      <c r="BA799" s="10" t="s">
        <v>242</v>
      </c>
      <c r="BC799" s="28">
        <f>AW799+AX799</f>
        <v>0</v>
      </c>
      <c r="BD799" s="28">
        <f>G799/(100-BE799)*100</f>
        <v>0</v>
      </c>
      <c r="BE799" s="28">
        <v>0</v>
      </c>
      <c r="BF799" s="28">
        <f>799</f>
        <v>799</v>
      </c>
      <c r="BH799" s="28">
        <f>F799*AO799</f>
        <v>0</v>
      </c>
      <c r="BI799" s="28">
        <f>F799*AP799</f>
        <v>0</v>
      </c>
      <c r="BJ799" s="28">
        <f>F799*G799</f>
        <v>0</v>
      </c>
      <c r="BK799" s="28"/>
      <c r="BL799" s="28">
        <v>90</v>
      </c>
      <c r="BW799" s="28">
        <v>21</v>
      </c>
    </row>
    <row r="800" spans="1:75" x14ac:dyDescent="0.25">
      <c r="A800" s="31"/>
      <c r="C800" s="32" t="s">
        <v>169</v>
      </c>
      <c r="D800" s="32" t="s">
        <v>52</v>
      </c>
      <c r="F800" s="33">
        <v>20</v>
      </c>
      <c r="K800" s="34"/>
    </row>
    <row r="801" spans="1:75" x14ac:dyDescent="0.25">
      <c r="A801" s="24" t="s">
        <v>52</v>
      </c>
      <c r="B801" s="25" t="s">
        <v>683</v>
      </c>
      <c r="C801" s="139" t="s">
        <v>1432</v>
      </c>
      <c r="D801" s="140"/>
      <c r="E801" s="26" t="s">
        <v>4</v>
      </c>
      <c r="F801" s="26" t="s">
        <v>4</v>
      </c>
      <c r="G801" s="26" t="s">
        <v>4</v>
      </c>
      <c r="H801" s="1">
        <f>SUM(H802:H809)</f>
        <v>0</v>
      </c>
      <c r="I801" s="1">
        <f>SUM(I802:I809)</f>
        <v>0</v>
      </c>
      <c r="J801" s="1">
        <f>SUM(J802:J809)</f>
        <v>0</v>
      </c>
      <c r="K801" s="27" t="s">
        <v>52</v>
      </c>
      <c r="AI801" s="10" t="s">
        <v>236</v>
      </c>
      <c r="AS801" s="1">
        <f>SUM(AJ802:AJ809)</f>
        <v>0</v>
      </c>
      <c r="AT801" s="1">
        <f>SUM(AK802:AK809)</f>
        <v>0</v>
      </c>
      <c r="AU801" s="1">
        <f>SUM(AL802:AL809)</f>
        <v>0</v>
      </c>
    </row>
    <row r="802" spans="1:75" ht="13.5" customHeight="1" x14ac:dyDescent="0.25">
      <c r="A802" s="2" t="s">
        <v>1433</v>
      </c>
      <c r="B802" s="3" t="s">
        <v>1434</v>
      </c>
      <c r="C802" s="83" t="s">
        <v>1435</v>
      </c>
      <c r="D802" s="80"/>
      <c r="E802" s="3" t="s">
        <v>148</v>
      </c>
      <c r="F802" s="28">
        <v>441.69</v>
      </c>
      <c r="G802" s="28">
        <v>0</v>
      </c>
      <c r="H802" s="28">
        <f>F802*AO802</f>
        <v>0</v>
      </c>
      <c r="I802" s="28">
        <f>F802*AP802</f>
        <v>0</v>
      </c>
      <c r="J802" s="28">
        <f>F802*G802</f>
        <v>0</v>
      </c>
      <c r="K802" s="29" t="s">
        <v>61</v>
      </c>
      <c r="Z802" s="28">
        <f>IF(AQ802="5",BJ802,0)</f>
        <v>0</v>
      </c>
      <c r="AB802" s="28">
        <f>IF(AQ802="1",BH802,0)</f>
        <v>0</v>
      </c>
      <c r="AC802" s="28">
        <f>IF(AQ802="1",BI802,0)</f>
        <v>0</v>
      </c>
      <c r="AD802" s="28">
        <f>IF(AQ802="7",BH802,0)</f>
        <v>0</v>
      </c>
      <c r="AE802" s="28">
        <f>IF(AQ802="7",BI802,0)</f>
        <v>0</v>
      </c>
      <c r="AF802" s="28">
        <f>IF(AQ802="2",BH802,0)</f>
        <v>0</v>
      </c>
      <c r="AG802" s="28">
        <f>IF(AQ802="2",BI802,0)</f>
        <v>0</v>
      </c>
      <c r="AH802" s="28">
        <f>IF(AQ802="0",BJ802,0)</f>
        <v>0</v>
      </c>
      <c r="AI802" s="10" t="s">
        <v>236</v>
      </c>
      <c r="AJ802" s="28">
        <f>IF(AN802=0,J802,0)</f>
        <v>0</v>
      </c>
      <c r="AK802" s="28">
        <f>IF(AN802=12,J802,0)</f>
        <v>0</v>
      </c>
      <c r="AL802" s="28">
        <f>IF(AN802=21,J802,0)</f>
        <v>0</v>
      </c>
      <c r="AN802" s="28">
        <v>21</v>
      </c>
      <c r="AO802" s="28">
        <f>G802*0.401818161</f>
        <v>0</v>
      </c>
      <c r="AP802" s="28">
        <f>G802*(1-0.401818161)</f>
        <v>0</v>
      </c>
      <c r="AQ802" s="30" t="s">
        <v>57</v>
      </c>
      <c r="AV802" s="28">
        <f>AW802+AX802</f>
        <v>0</v>
      </c>
      <c r="AW802" s="28">
        <f>F802*AO802</f>
        <v>0</v>
      </c>
      <c r="AX802" s="28">
        <f>F802*AP802</f>
        <v>0</v>
      </c>
      <c r="AY802" s="30" t="s">
        <v>1436</v>
      </c>
      <c r="AZ802" s="30" t="s">
        <v>328</v>
      </c>
      <c r="BA802" s="10" t="s">
        <v>242</v>
      </c>
      <c r="BC802" s="28">
        <f>AW802+AX802</f>
        <v>0</v>
      </c>
      <c r="BD802" s="28">
        <f>G802/(100-BE802)*100</f>
        <v>0</v>
      </c>
      <c r="BE802" s="28">
        <v>0</v>
      </c>
      <c r="BF802" s="28">
        <f>802</f>
        <v>802</v>
      </c>
      <c r="BH802" s="28">
        <f>F802*AO802</f>
        <v>0</v>
      </c>
      <c r="BI802" s="28">
        <f>F802*AP802</f>
        <v>0</v>
      </c>
      <c r="BJ802" s="28">
        <f>F802*G802</f>
        <v>0</v>
      </c>
      <c r="BK802" s="28"/>
      <c r="BL802" s="28">
        <v>94</v>
      </c>
      <c r="BW802" s="28">
        <v>21</v>
      </c>
    </row>
    <row r="803" spans="1:75" x14ac:dyDescent="0.25">
      <c r="A803" s="31"/>
      <c r="C803" s="32" t="s">
        <v>1314</v>
      </c>
      <c r="D803" s="32" t="s">
        <v>1437</v>
      </c>
      <c r="F803" s="33">
        <v>153.66999999999999</v>
      </c>
      <c r="K803" s="34"/>
    </row>
    <row r="804" spans="1:75" x14ac:dyDescent="0.25">
      <c r="A804" s="31"/>
      <c r="C804" s="32" t="s">
        <v>1316</v>
      </c>
      <c r="D804" s="32" t="s">
        <v>1438</v>
      </c>
      <c r="F804" s="33">
        <v>284.02</v>
      </c>
      <c r="K804" s="34"/>
    </row>
    <row r="805" spans="1:75" x14ac:dyDescent="0.25">
      <c r="A805" s="31"/>
      <c r="C805" s="32" t="s">
        <v>68</v>
      </c>
      <c r="D805" s="32" t="s">
        <v>1269</v>
      </c>
      <c r="F805" s="33">
        <v>2</v>
      </c>
      <c r="K805" s="34"/>
    </row>
    <row r="806" spans="1:75" x14ac:dyDescent="0.25">
      <c r="A806" s="31"/>
      <c r="C806" s="32" t="s">
        <v>68</v>
      </c>
      <c r="D806" s="32" t="s">
        <v>1273</v>
      </c>
      <c r="F806" s="33">
        <v>2</v>
      </c>
      <c r="K806" s="34"/>
    </row>
    <row r="807" spans="1:75" ht="13.5" customHeight="1" x14ac:dyDescent="0.25">
      <c r="A807" s="2" t="s">
        <v>1439</v>
      </c>
      <c r="B807" s="3" t="s">
        <v>1440</v>
      </c>
      <c r="C807" s="83" t="s">
        <v>1441</v>
      </c>
      <c r="D807" s="80"/>
      <c r="E807" s="3" t="s">
        <v>1442</v>
      </c>
      <c r="F807" s="28">
        <v>4</v>
      </c>
      <c r="G807" s="28">
        <v>0</v>
      </c>
      <c r="H807" s="28">
        <f>F807*AO807</f>
        <v>0</v>
      </c>
      <c r="I807" s="28">
        <f>F807*AP807</f>
        <v>0</v>
      </c>
      <c r="J807" s="28">
        <f>F807*G807</f>
        <v>0</v>
      </c>
      <c r="K807" s="29" t="s">
        <v>61</v>
      </c>
      <c r="Z807" s="28">
        <f>IF(AQ807="5",BJ807,0)</f>
        <v>0</v>
      </c>
      <c r="AB807" s="28">
        <f>IF(AQ807="1",BH807,0)</f>
        <v>0</v>
      </c>
      <c r="AC807" s="28">
        <f>IF(AQ807="1",BI807,0)</f>
        <v>0</v>
      </c>
      <c r="AD807" s="28">
        <f>IF(AQ807="7",BH807,0)</f>
        <v>0</v>
      </c>
      <c r="AE807" s="28">
        <f>IF(AQ807="7",BI807,0)</f>
        <v>0</v>
      </c>
      <c r="AF807" s="28">
        <f>IF(AQ807="2",BH807,0)</f>
        <v>0</v>
      </c>
      <c r="AG807" s="28">
        <f>IF(AQ807="2",BI807,0)</f>
        <v>0</v>
      </c>
      <c r="AH807" s="28">
        <f>IF(AQ807="0",BJ807,0)</f>
        <v>0</v>
      </c>
      <c r="AI807" s="10" t="s">
        <v>236</v>
      </c>
      <c r="AJ807" s="28">
        <f>IF(AN807=0,J807,0)</f>
        <v>0</v>
      </c>
      <c r="AK807" s="28">
        <f>IF(AN807=12,J807,0)</f>
        <v>0</v>
      </c>
      <c r="AL807" s="28">
        <f>IF(AN807=21,J807,0)</f>
        <v>0</v>
      </c>
      <c r="AN807" s="28">
        <v>21</v>
      </c>
      <c r="AO807" s="28">
        <f>G807*0</f>
        <v>0</v>
      </c>
      <c r="AP807" s="28">
        <f>G807*(1-0)</f>
        <v>0</v>
      </c>
      <c r="AQ807" s="30" t="s">
        <v>57</v>
      </c>
      <c r="AV807" s="28">
        <f>AW807+AX807</f>
        <v>0</v>
      </c>
      <c r="AW807" s="28">
        <f>F807*AO807</f>
        <v>0</v>
      </c>
      <c r="AX807" s="28">
        <f>F807*AP807</f>
        <v>0</v>
      </c>
      <c r="AY807" s="30" t="s">
        <v>1436</v>
      </c>
      <c r="AZ807" s="30" t="s">
        <v>328</v>
      </c>
      <c r="BA807" s="10" t="s">
        <v>242</v>
      </c>
      <c r="BC807" s="28">
        <f>AW807+AX807</f>
        <v>0</v>
      </c>
      <c r="BD807" s="28">
        <f>G807/(100-BE807)*100</f>
        <v>0</v>
      </c>
      <c r="BE807" s="28">
        <v>0</v>
      </c>
      <c r="BF807" s="28">
        <f>807</f>
        <v>807</v>
      </c>
      <c r="BH807" s="28">
        <f>F807*AO807</f>
        <v>0</v>
      </c>
      <c r="BI807" s="28">
        <f>F807*AP807</f>
        <v>0</v>
      </c>
      <c r="BJ807" s="28">
        <f>F807*G807</f>
        <v>0</v>
      </c>
      <c r="BK807" s="28"/>
      <c r="BL807" s="28">
        <v>94</v>
      </c>
      <c r="BW807" s="28">
        <v>21</v>
      </c>
    </row>
    <row r="808" spans="1:75" ht="13.5" customHeight="1" x14ac:dyDescent="0.25">
      <c r="A808" s="2" t="s">
        <v>1443</v>
      </c>
      <c r="B808" s="3" t="s">
        <v>1444</v>
      </c>
      <c r="C808" s="83" t="s">
        <v>1445</v>
      </c>
      <c r="D808" s="80"/>
      <c r="E808" s="3" t="s">
        <v>1442</v>
      </c>
      <c r="F808" s="28">
        <v>4</v>
      </c>
      <c r="G808" s="28">
        <v>0</v>
      </c>
      <c r="H808" s="28">
        <f>F808*AO808</f>
        <v>0</v>
      </c>
      <c r="I808" s="28">
        <f>F808*AP808</f>
        <v>0</v>
      </c>
      <c r="J808" s="28">
        <f>F808*G808</f>
        <v>0</v>
      </c>
      <c r="K808" s="29" t="s">
        <v>61</v>
      </c>
      <c r="Z808" s="28">
        <f>IF(AQ808="5",BJ808,0)</f>
        <v>0</v>
      </c>
      <c r="AB808" s="28">
        <f>IF(AQ808="1",BH808,0)</f>
        <v>0</v>
      </c>
      <c r="AC808" s="28">
        <f>IF(AQ808="1",BI808,0)</f>
        <v>0</v>
      </c>
      <c r="AD808" s="28">
        <f>IF(AQ808="7",BH808,0)</f>
        <v>0</v>
      </c>
      <c r="AE808" s="28">
        <f>IF(AQ808="7",BI808,0)</f>
        <v>0</v>
      </c>
      <c r="AF808" s="28">
        <f>IF(AQ808="2",BH808,0)</f>
        <v>0</v>
      </c>
      <c r="AG808" s="28">
        <f>IF(AQ808="2",BI808,0)</f>
        <v>0</v>
      </c>
      <c r="AH808" s="28">
        <f>IF(AQ808="0",BJ808,0)</f>
        <v>0</v>
      </c>
      <c r="AI808" s="10" t="s">
        <v>236</v>
      </c>
      <c r="AJ808" s="28">
        <f>IF(AN808=0,J808,0)</f>
        <v>0</v>
      </c>
      <c r="AK808" s="28">
        <f>IF(AN808=12,J808,0)</f>
        <v>0</v>
      </c>
      <c r="AL808" s="28">
        <f>IF(AN808=21,J808,0)</f>
        <v>0</v>
      </c>
      <c r="AN808" s="28">
        <v>21</v>
      </c>
      <c r="AO808" s="28">
        <f>G808*0</f>
        <v>0</v>
      </c>
      <c r="AP808" s="28">
        <f>G808*(1-0)</f>
        <v>0</v>
      </c>
      <c r="AQ808" s="30" t="s">
        <v>57</v>
      </c>
      <c r="AV808" s="28">
        <f>AW808+AX808</f>
        <v>0</v>
      </c>
      <c r="AW808" s="28">
        <f>F808*AO808</f>
        <v>0</v>
      </c>
      <c r="AX808" s="28">
        <f>F808*AP808</f>
        <v>0</v>
      </c>
      <c r="AY808" s="30" t="s">
        <v>1436</v>
      </c>
      <c r="AZ808" s="30" t="s">
        <v>328</v>
      </c>
      <c r="BA808" s="10" t="s">
        <v>242</v>
      </c>
      <c r="BC808" s="28">
        <f>AW808+AX808</f>
        <v>0</v>
      </c>
      <c r="BD808" s="28">
        <f>G808/(100-BE808)*100</f>
        <v>0</v>
      </c>
      <c r="BE808" s="28">
        <v>0</v>
      </c>
      <c r="BF808" s="28">
        <f>808</f>
        <v>808</v>
      </c>
      <c r="BH808" s="28">
        <f>F808*AO808</f>
        <v>0</v>
      </c>
      <c r="BI808" s="28">
        <f>F808*AP808</f>
        <v>0</v>
      </c>
      <c r="BJ808" s="28">
        <f>F808*G808</f>
        <v>0</v>
      </c>
      <c r="BK808" s="28"/>
      <c r="BL808" s="28">
        <v>94</v>
      </c>
      <c r="BW808" s="28">
        <v>21</v>
      </c>
    </row>
    <row r="809" spans="1:75" ht="13.5" customHeight="1" x14ac:dyDescent="0.25">
      <c r="A809" s="2" t="s">
        <v>1446</v>
      </c>
      <c r="B809" s="3" t="s">
        <v>1447</v>
      </c>
      <c r="C809" s="83" t="s">
        <v>1448</v>
      </c>
      <c r="D809" s="80"/>
      <c r="E809" s="3" t="s">
        <v>1449</v>
      </c>
      <c r="F809" s="28">
        <v>60</v>
      </c>
      <c r="G809" s="28">
        <v>0</v>
      </c>
      <c r="H809" s="28">
        <f>F809*AO809</f>
        <v>0</v>
      </c>
      <c r="I809" s="28">
        <f>F809*AP809</f>
        <v>0</v>
      </c>
      <c r="J809" s="28">
        <f>F809*G809</f>
        <v>0</v>
      </c>
      <c r="K809" s="29" t="s">
        <v>61</v>
      </c>
      <c r="Z809" s="28">
        <f>IF(AQ809="5",BJ809,0)</f>
        <v>0</v>
      </c>
      <c r="AB809" s="28">
        <f>IF(AQ809="1",BH809,0)</f>
        <v>0</v>
      </c>
      <c r="AC809" s="28">
        <f>IF(AQ809="1",BI809,0)</f>
        <v>0</v>
      </c>
      <c r="AD809" s="28">
        <f>IF(AQ809="7",BH809,0)</f>
        <v>0</v>
      </c>
      <c r="AE809" s="28">
        <f>IF(AQ809="7",BI809,0)</f>
        <v>0</v>
      </c>
      <c r="AF809" s="28">
        <f>IF(AQ809="2",BH809,0)</f>
        <v>0</v>
      </c>
      <c r="AG809" s="28">
        <f>IF(AQ809="2",BI809,0)</f>
        <v>0</v>
      </c>
      <c r="AH809" s="28">
        <f>IF(AQ809="0",BJ809,0)</f>
        <v>0</v>
      </c>
      <c r="AI809" s="10" t="s">
        <v>236</v>
      </c>
      <c r="AJ809" s="28">
        <f>IF(AN809=0,J809,0)</f>
        <v>0</v>
      </c>
      <c r="AK809" s="28">
        <f>IF(AN809=12,J809,0)</f>
        <v>0</v>
      </c>
      <c r="AL809" s="28">
        <f>IF(AN809=21,J809,0)</f>
        <v>0</v>
      </c>
      <c r="AN809" s="28">
        <v>21</v>
      </c>
      <c r="AO809" s="28">
        <f>G809*0</f>
        <v>0</v>
      </c>
      <c r="AP809" s="28">
        <f>G809*(1-0)</f>
        <v>0</v>
      </c>
      <c r="AQ809" s="30" t="s">
        <v>57</v>
      </c>
      <c r="AV809" s="28">
        <f>AW809+AX809</f>
        <v>0</v>
      </c>
      <c r="AW809" s="28">
        <f>F809*AO809</f>
        <v>0</v>
      </c>
      <c r="AX809" s="28">
        <f>F809*AP809</f>
        <v>0</v>
      </c>
      <c r="AY809" s="30" t="s">
        <v>1436</v>
      </c>
      <c r="AZ809" s="30" t="s">
        <v>328</v>
      </c>
      <c r="BA809" s="10" t="s">
        <v>242</v>
      </c>
      <c r="BC809" s="28">
        <f>AW809+AX809</f>
        <v>0</v>
      </c>
      <c r="BD809" s="28">
        <f>G809/(100-BE809)*100</f>
        <v>0</v>
      </c>
      <c r="BE809" s="28">
        <v>0</v>
      </c>
      <c r="BF809" s="28">
        <f>809</f>
        <v>809</v>
      </c>
      <c r="BH809" s="28">
        <f>F809*AO809</f>
        <v>0</v>
      </c>
      <c r="BI809" s="28">
        <f>F809*AP809</f>
        <v>0</v>
      </c>
      <c r="BJ809" s="28">
        <f>F809*G809</f>
        <v>0</v>
      </c>
      <c r="BK809" s="28"/>
      <c r="BL809" s="28">
        <v>94</v>
      </c>
      <c r="BW809" s="28">
        <v>21</v>
      </c>
    </row>
    <row r="810" spans="1:75" x14ac:dyDescent="0.25">
      <c r="A810" s="31"/>
      <c r="C810" s="32" t="s">
        <v>465</v>
      </c>
      <c r="D810" s="32" t="s">
        <v>1450</v>
      </c>
      <c r="F810" s="33">
        <v>60</v>
      </c>
      <c r="K810" s="34"/>
    </row>
    <row r="811" spans="1:75" x14ac:dyDescent="0.25">
      <c r="A811" s="24" t="s">
        <v>52</v>
      </c>
      <c r="B811" s="25" t="s">
        <v>686</v>
      </c>
      <c r="C811" s="139" t="s">
        <v>1451</v>
      </c>
      <c r="D811" s="140"/>
      <c r="E811" s="26" t="s">
        <v>4</v>
      </c>
      <c r="F811" s="26" t="s">
        <v>4</v>
      </c>
      <c r="G811" s="26" t="s">
        <v>4</v>
      </c>
      <c r="H811" s="1">
        <f>SUM(H812:H817)</f>
        <v>0</v>
      </c>
      <c r="I811" s="1">
        <f>SUM(I812:I817)</f>
        <v>0</v>
      </c>
      <c r="J811" s="1">
        <f>SUM(J812:J817)</f>
        <v>0</v>
      </c>
      <c r="K811" s="27" t="s">
        <v>52</v>
      </c>
      <c r="AI811" s="10" t="s">
        <v>236</v>
      </c>
      <c r="AS811" s="1">
        <f>SUM(AJ812:AJ817)</f>
        <v>0</v>
      </c>
      <c r="AT811" s="1">
        <f>SUM(AK812:AK817)</f>
        <v>0</v>
      </c>
      <c r="AU811" s="1">
        <f>SUM(AL812:AL817)</f>
        <v>0</v>
      </c>
    </row>
    <row r="812" spans="1:75" ht="13.5" customHeight="1" x14ac:dyDescent="0.25">
      <c r="A812" s="2" t="s">
        <v>1452</v>
      </c>
      <c r="B812" s="3" t="s">
        <v>1453</v>
      </c>
      <c r="C812" s="83" t="s">
        <v>1454</v>
      </c>
      <c r="D812" s="80"/>
      <c r="E812" s="3" t="s">
        <v>148</v>
      </c>
      <c r="F812" s="28">
        <v>441.69</v>
      </c>
      <c r="G812" s="28">
        <v>0</v>
      </c>
      <c r="H812" s="28">
        <f>F812*AO812</f>
        <v>0</v>
      </c>
      <c r="I812" s="28">
        <f>F812*AP812</f>
        <v>0</v>
      </c>
      <c r="J812" s="28">
        <f>F812*G812</f>
        <v>0</v>
      </c>
      <c r="K812" s="29" t="s">
        <v>61</v>
      </c>
      <c r="Z812" s="28">
        <f>IF(AQ812="5",BJ812,0)</f>
        <v>0</v>
      </c>
      <c r="AB812" s="28">
        <f>IF(AQ812="1",BH812,0)</f>
        <v>0</v>
      </c>
      <c r="AC812" s="28">
        <f>IF(AQ812="1",BI812,0)</f>
        <v>0</v>
      </c>
      <c r="AD812" s="28">
        <f>IF(AQ812="7",BH812,0)</f>
        <v>0</v>
      </c>
      <c r="AE812" s="28">
        <f>IF(AQ812="7",BI812,0)</f>
        <v>0</v>
      </c>
      <c r="AF812" s="28">
        <f>IF(AQ812="2",BH812,0)</f>
        <v>0</v>
      </c>
      <c r="AG812" s="28">
        <f>IF(AQ812="2",BI812,0)</f>
        <v>0</v>
      </c>
      <c r="AH812" s="28">
        <f>IF(AQ812="0",BJ812,0)</f>
        <v>0</v>
      </c>
      <c r="AI812" s="10" t="s">
        <v>236</v>
      </c>
      <c r="AJ812" s="28">
        <f>IF(AN812=0,J812,0)</f>
        <v>0</v>
      </c>
      <c r="AK812" s="28">
        <f>IF(AN812=12,J812,0)</f>
        <v>0</v>
      </c>
      <c r="AL812" s="28">
        <f>IF(AN812=21,J812,0)</f>
        <v>0</v>
      </c>
      <c r="AN812" s="28">
        <v>21</v>
      </c>
      <c r="AO812" s="28">
        <f>G812*0.015630252</f>
        <v>0</v>
      </c>
      <c r="AP812" s="28">
        <f>G812*(1-0.015630252)</f>
        <v>0</v>
      </c>
      <c r="AQ812" s="30" t="s">
        <v>57</v>
      </c>
      <c r="AV812" s="28">
        <f>AW812+AX812</f>
        <v>0</v>
      </c>
      <c r="AW812" s="28">
        <f>F812*AO812</f>
        <v>0</v>
      </c>
      <c r="AX812" s="28">
        <f>F812*AP812</f>
        <v>0</v>
      </c>
      <c r="AY812" s="30" t="s">
        <v>1455</v>
      </c>
      <c r="AZ812" s="30" t="s">
        <v>328</v>
      </c>
      <c r="BA812" s="10" t="s">
        <v>242</v>
      </c>
      <c r="BC812" s="28">
        <f>AW812+AX812</f>
        <v>0</v>
      </c>
      <c r="BD812" s="28">
        <f>G812/(100-BE812)*100</f>
        <v>0</v>
      </c>
      <c r="BE812" s="28">
        <v>0</v>
      </c>
      <c r="BF812" s="28">
        <f>812</f>
        <v>812</v>
      </c>
      <c r="BH812" s="28">
        <f>F812*AO812</f>
        <v>0</v>
      </c>
      <c r="BI812" s="28">
        <f>F812*AP812</f>
        <v>0</v>
      </c>
      <c r="BJ812" s="28">
        <f>F812*G812</f>
        <v>0</v>
      </c>
      <c r="BK812" s="28"/>
      <c r="BL812" s="28">
        <v>95</v>
      </c>
      <c r="BW812" s="28">
        <v>21</v>
      </c>
    </row>
    <row r="813" spans="1:75" x14ac:dyDescent="0.25">
      <c r="A813" s="31"/>
      <c r="C813" s="32" t="s">
        <v>1314</v>
      </c>
      <c r="D813" s="32" t="s">
        <v>1437</v>
      </c>
      <c r="F813" s="33">
        <v>153.66999999999999</v>
      </c>
      <c r="K813" s="34"/>
    </row>
    <row r="814" spans="1:75" x14ac:dyDescent="0.25">
      <c r="A814" s="31"/>
      <c r="C814" s="32" t="s">
        <v>1316</v>
      </c>
      <c r="D814" s="32" t="s">
        <v>1438</v>
      </c>
      <c r="F814" s="33">
        <v>284.02</v>
      </c>
      <c r="K814" s="34"/>
    </row>
    <row r="815" spans="1:75" x14ac:dyDescent="0.25">
      <c r="A815" s="31"/>
      <c r="C815" s="32" t="s">
        <v>68</v>
      </c>
      <c r="D815" s="32" t="s">
        <v>1269</v>
      </c>
      <c r="F815" s="33">
        <v>2</v>
      </c>
      <c r="K815" s="34"/>
    </row>
    <row r="816" spans="1:75" x14ac:dyDescent="0.25">
      <c r="A816" s="31"/>
      <c r="C816" s="32" t="s">
        <v>68</v>
      </c>
      <c r="D816" s="32" t="s">
        <v>1273</v>
      </c>
      <c r="F816" s="33">
        <v>2</v>
      </c>
      <c r="K816" s="34"/>
    </row>
    <row r="817" spans="1:75" ht="13.5" customHeight="1" x14ac:dyDescent="0.25">
      <c r="A817" s="2" t="s">
        <v>1456</v>
      </c>
      <c r="B817" s="3" t="s">
        <v>1457</v>
      </c>
      <c r="C817" s="83" t="s">
        <v>1458</v>
      </c>
      <c r="D817" s="80"/>
      <c r="E817" s="3" t="s">
        <v>137</v>
      </c>
      <c r="F817" s="28">
        <v>16</v>
      </c>
      <c r="G817" s="28">
        <v>0</v>
      </c>
      <c r="H817" s="28">
        <f>F817*AO817</f>
        <v>0</v>
      </c>
      <c r="I817" s="28">
        <f>F817*AP817</f>
        <v>0</v>
      </c>
      <c r="J817" s="28">
        <f>F817*G817</f>
        <v>0</v>
      </c>
      <c r="K817" s="29" t="s">
        <v>61</v>
      </c>
      <c r="Z817" s="28">
        <f>IF(AQ817="5",BJ817,0)</f>
        <v>0</v>
      </c>
      <c r="AB817" s="28">
        <f>IF(AQ817="1",BH817,0)</f>
        <v>0</v>
      </c>
      <c r="AC817" s="28">
        <f>IF(AQ817="1",BI817,0)</f>
        <v>0</v>
      </c>
      <c r="AD817" s="28">
        <f>IF(AQ817="7",BH817,0)</f>
        <v>0</v>
      </c>
      <c r="AE817" s="28">
        <f>IF(AQ817="7",BI817,0)</f>
        <v>0</v>
      </c>
      <c r="AF817" s="28">
        <f>IF(AQ817="2",BH817,0)</f>
        <v>0</v>
      </c>
      <c r="AG817" s="28">
        <f>IF(AQ817="2",BI817,0)</f>
        <v>0</v>
      </c>
      <c r="AH817" s="28">
        <f>IF(AQ817="0",BJ817,0)</f>
        <v>0</v>
      </c>
      <c r="AI817" s="10" t="s">
        <v>236</v>
      </c>
      <c r="AJ817" s="28">
        <f>IF(AN817=0,J817,0)</f>
        <v>0</v>
      </c>
      <c r="AK817" s="28">
        <f>IF(AN817=12,J817,0)</f>
        <v>0</v>
      </c>
      <c r="AL817" s="28">
        <f>IF(AN817=21,J817,0)</f>
        <v>0</v>
      </c>
      <c r="AN817" s="28">
        <v>21</v>
      </c>
      <c r="AO817" s="28">
        <f>G817*0.64973494</f>
        <v>0</v>
      </c>
      <c r="AP817" s="28">
        <f>G817*(1-0.64973494)</f>
        <v>0</v>
      </c>
      <c r="AQ817" s="30" t="s">
        <v>57</v>
      </c>
      <c r="AV817" s="28">
        <f>AW817+AX817</f>
        <v>0</v>
      </c>
      <c r="AW817" s="28">
        <f>F817*AO817</f>
        <v>0</v>
      </c>
      <c r="AX817" s="28">
        <f>F817*AP817</f>
        <v>0</v>
      </c>
      <c r="AY817" s="30" t="s">
        <v>1455</v>
      </c>
      <c r="AZ817" s="30" t="s">
        <v>328</v>
      </c>
      <c r="BA817" s="10" t="s">
        <v>242</v>
      </c>
      <c r="BC817" s="28">
        <f>AW817+AX817</f>
        <v>0</v>
      </c>
      <c r="BD817" s="28">
        <f>G817/(100-BE817)*100</f>
        <v>0</v>
      </c>
      <c r="BE817" s="28">
        <v>0</v>
      </c>
      <c r="BF817" s="28">
        <f>817</f>
        <v>817</v>
      </c>
      <c r="BH817" s="28">
        <f>F817*AO817</f>
        <v>0</v>
      </c>
      <c r="BI817" s="28">
        <f>F817*AP817</f>
        <v>0</v>
      </c>
      <c r="BJ817" s="28">
        <f>F817*G817</f>
        <v>0</v>
      </c>
      <c r="BK817" s="28"/>
      <c r="BL817" s="28">
        <v>95</v>
      </c>
      <c r="BW817" s="28">
        <v>21</v>
      </c>
    </row>
    <row r="818" spans="1:75" x14ac:dyDescent="0.25">
      <c r="A818" s="31"/>
      <c r="C818" s="32" t="s">
        <v>145</v>
      </c>
      <c r="D818" s="32" t="s">
        <v>52</v>
      </c>
      <c r="F818" s="33">
        <v>16</v>
      </c>
      <c r="K818" s="34"/>
    </row>
    <row r="819" spans="1:75" x14ac:dyDescent="0.25">
      <c r="A819" s="24" t="s">
        <v>52</v>
      </c>
      <c r="B819" s="25" t="s">
        <v>1459</v>
      </c>
      <c r="C819" s="139" t="s">
        <v>1460</v>
      </c>
      <c r="D819" s="140"/>
      <c r="E819" s="26" t="s">
        <v>4</v>
      </c>
      <c r="F819" s="26" t="s">
        <v>4</v>
      </c>
      <c r="G819" s="26" t="s">
        <v>4</v>
      </c>
      <c r="H819" s="1">
        <f>SUM(H820:H820)</f>
        <v>0</v>
      </c>
      <c r="I819" s="1">
        <f>SUM(I820:I820)</f>
        <v>0</v>
      </c>
      <c r="J819" s="1">
        <f>SUM(J820:J820)</f>
        <v>0</v>
      </c>
      <c r="K819" s="27" t="s">
        <v>52</v>
      </c>
      <c r="AI819" s="10" t="s">
        <v>236</v>
      </c>
      <c r="AS819" s="1">
        <f>SUM(AJ820:AJ820)</f>
        <v>0</v>
      </c>
      <c r="AT819" s="1">
        <f>SUM(AK820:AK820)</f>
        <v>0</v>
      </c>
      <c r="AU819" s="1">
        <f>SUM(AL820:AL820)</f>
        <v>0</v>
      </c>
    </row>
    <row r="820" spans="1:75" ht="13.5" customHeight="1" x14ac:dyDescent="0.25">
      <c r="A820" s="2" t="s">
        <v>1461</v>
      </c>
      <c r="B820" s="3" t="s">
        <v>1462</v>
      </c>
      <c r="C820" s="83" t="s">
        <v>1463</v>
      </c>
      <c r="D820" s="80"/>
      <c r="E820" s="3" t="s">
        <v>71</v>
      </c>
      <c r="F820" s="28">
        <v>861.44712000000004</v>
      </c>
      <c r="G820" s="28">
        <v>0</v>
      </c>
      <c r="H820" s="28">
        <f>F820*AO820</f>
        <v>0</v>
      </c>
      <c r="I820" s="28">
        <f>F820*AP820</f>
        <v>0</v>
      </c>
      <c r="J820" s="28">
        <f>F820*G820</f>
        <v>0</v>
      </c>
      <c r="K820" s="29" t="s">
        <v>61</v>
      </c>
      <c r="Z820" s="28">
        <f>IF(AQ820="5",BJ820,0)</f>
        <v>0</v>
      </c>
      <c r="AB820" s="28">
        <f>IF(AQ820="1",BH820,0)</f>
        <v>0</v>
      </c>
      <c r="AC820" s="28">
        <f>IF(AQ820="1",BI820,0)</f>
        <v>0</v>
      </c>
      <c r="AD820" s="28">
        <f>IF(AQ820="7",BH820,0)</f>
        <v>0</v>
      </c>
      <c r="AE820" s="28">
        <f>IF(AQ820="7",BI820,0)</f>
        <v>0</v>
      </c>
      <c r="AF820" s="28">
        <f>IF(AQ820="2",BH820,0)</f>
        <v>0</v>
      </c>
      <c r="AG820" s="28">
        <f>IF(AQ820="2",BI820,0)</f>
        <v>0</v>
      </c>
      <c r="AH820" s="28">
        <f>IF(AQ820="0",BJ820,0)</f>
        <v>0</v>
      </c>
      <c r="AI820" s="10" t="s">
        <v>236</v>
      </c>
      <c r="AJ820" s="28">
        <f>IF(AN820=0,J820,0)</f>
        <v>0</v>
      </c>
      <c r="AK820" s="28">
        <f>IF(AN820=12,J820,0)</f>
        <v>0</v>
      </c>
      <c r="AL820" s="28">
        <f>IF(AN820=21,J820,0)</f>
        <v>0</v>
      </c>
      <c r="AN820" s="28">
        <v>21</v>
      </c>
      <c r="AO820" s="28">
        <f>G820*0</f>
        <v>0</v>
      </c>
      <c r="AP820" s="28">
        <f>G820*(1-0)</f>
        <v>0</v>
      </c>
      <c r="AQ820" s="30" t="s">
        <v>87</v>
      </c>
      <c r="AV820" s="28">
        <f>AW820+AX820</f>
        <v>0</v>
      </c>
      <c r="AW820" s="28">
        <f>F820*AO820</f>
        <v>0</v>
      </c>
      <c r="AX820" s="28">
        <f>F820*AP820</f>
        <v>0</v>
      </c>
      <c r="AY820" s="30" t="s">
        <v>1464</v>
      </c>
      <c r="AZ820" s="30" t="s">
        <v>328</v>
      </c>
      <c r="BA820" s="10" t="s">
        <v>242</v>
      </c>
      <c r="BC820" s="28">
        <f>AW820+AX820</f>
        <v>0</v>
      </c>
      <c r="BD820" s="28">
        <f>G820/(100-BE820)*100</f>
        <v>0</v>
      </c>
      <c r="BE820" s="28">
        <v>0</v>
      </c>
      <c r="BF820" s="28">
        <f>820</f>
        <v>820</v>
      </c>
      <c r="BH820" s="28">
        <f>F820*AO820</f>
        <v>0</v>
      </c>
      <c r="BI820" s="28">
        <f>F820*AP820</f>
        <v>0</v>
      </c>
      <c r="BJ820" s="28">
        <f>F820*G820</f>
        <v>0</v>
      </c>
      <c r="BK820" s="28"/>
      <c r="BL820" s="28"/>
      <c r="BW820" s="28">
        <v>21</v>
      </c>
    </row>
    <row r="821" spans="1:75" x14ac:dyDescent="0.25">
      <c r="A821" s="24" t="s">
        <v>52</v>
      </c>
      <c r="B821" s="25" t="s">
        <v>52</v>
      </c>
      <c r="C821" s="139" t="s">
        <v>1465</v>
      </c>
      <c r="D821" s="140"/>
      <c r="E821" s="26" t="s">
        <v>4</v>
      </c>
      <c r="F821" s="26" t="s">
        <v>4</v>
      </c>
      <c r="G821" s="26" t="s">
        <v>4</v>
      </c>
      <c r="H821" s="1">
        <f>H822+H827+H837+H841+H857+H865+H872</f>
        <v>0</v>
      </c>
      <c r="I821" s="1">
        <f>I822+I827+I837+I841+I857+I865+I872</f>
        <v>0</v>
      </c>
      <c r="J821" s="1">
        <f>J822+J827+J837+J841+J857+J865+J872</f>
        <v>0</v>
      </c>
      <c r="K821" s="27" t="s">
        <v>52</v>
      </c>
    </row>
    <row r="822" spans="1:75" x14ac:dyDescent="0.25">
      <c r="A822" s="24" t="s">
        <v>52</v>
      </c>
      <c r="B822" s="25" t="s">
        <v>82</v>
      </c>
      <c r="C822" s="139" t="s">
        <v>83</v>
      </c>
      <c r="D822" s="140"/>
      <c r="E822" s="26" t="s">
        <v>4</v>
      </c>
      <c r="F822" s="26" t="s">
        <v>4</v>
      </c>
      <c r="G822" s="26" t="s">
        <v>4</v>
      </c>
      <c r="H822" s="1">
        <f>SUM(H823:H825)</f>
        <v>0</v>
      </c>
      <c r="I822" s="1">
        <f>SUM(I823:I825)</f>
        <v>0</v>
      </c>
      <c r="J822" s="1">
        <f>SUM(J823:J825)</f>
        <v>0</v>
      </c>
      <c r="K822" s="27" t="s">
        <v>52</v>
      </c>
      <c r="AI822" s="10" t="s">
        <v>1466</v>
      </c>
      <c r="AS822" s="1">
        <f>SUM(AJ823:AJ825)</f>
        <v>0</v>
      </c>
      <c r="AT822" s="1">
        <f>SUM(AK823:AK825)</f>
        <v>0</v>
      </c>
      <c r="AU822" s="1">
        <f>SUM(AL823:AL825)</f>
        <v>0</v>
      </c>
    </row>
    <row r="823" spans="1:75" ht="13.5" customHeight="1" x14ac:dyDescent="0.25">
      <c r="A823" s="2" t="s">
        <v>1467</v>
      </c>
      <c r="B823" s="3" t="s">
        <v>326</v>
      </c>
      <c r="C823" s="83" t="s">
        <v>327</v>
      </c>
      <c r="D823" s="80"/>
      <c r="E823" s="3" t="s">
        <v>71</v>
      </c>
      <c r="F823" s="28">
        <v>72.588999999999999</v>
      </c>
      <c r="G823" s="28">
        <v>0</v>
      </c>
      <c r="H823" s="28">
        <f>F823*AO823</f>
        <v>0</v>
      </c>
      <c r="I823" s="28">
        <f>F823*AP823</f>
        <v>0</v>
      </c>
      <c r="J823" s="28">
        <f>F823*G823</f>
        <v>0</v>
      </c>
      <c r="K823" s="29" t="s">
        <v>61</v>
      </c>
      <c r="Z823" s="28">
        <f>IF(AQ823="5",BJ823,0)</f>
        <v>0</v>
      </c>
      <c r="AB823" s="28">
        <f>IF(AQ823="1",BH823,0)</f>
        <v>0</v>
      </c>
      <c r="AC823" s="28">
        <f>IF(AQ823="1",BI823,0)</f>
        <v>0</v>
      </c>
      <c r="AD823" s="28">
        <f>IF(AQ823="7",BH823,0)</f>
        <v>0</v>
      </c>
      <c r="AE823" s="28">
        <f>IF(AQ823="7",BI823,0)</f>
        <v>0</v>
      </c>
      <c r="AF823" s="28">
        <f>IF(AQ823="2",BH823,0)</f>
        <v>0</v>
      </c>
      <c r="AG823" s="28">
        <f>IF(AQ823="2",BI823,0)</f>
        <v>0</v>
      </c>
      <c r="AH823" s="28">
        <f>IF(AQ823="0",BJ823,0)</f>
        <v>0</v>
      </c>
      <c r="AI823" s="10" t="s">
        <v>1466</v>
      </c>
      <c r="AJ823" s="28">
        <f>IF(AN823=0,J823,0)</f>
        <v>0</v>
      </c>
      <c r="AK823" s="28">
        <f>IF(AN823=12,J823,0)</f>
        <v>0</v>
      </c>
      <c r="AL823" s="28">
        <f>IF(AN823=21,J823,0)</f>
        <v>0</v>
      </c>
      <c r="AN823" s="28">
        <v>21</v>
      </c>
      <c r="AO823" s="28">
        <f>G823*0</f>
        <v>0</v>
      </c>
      <c r="AP823" s="28">
        <f>G823*(1-0)</f>
        <v>0</v>
      </c>
      <c r="AQ823" s="30" t="s">
        <v>87</v>
      </c>
      <c r="AV823" s="28">
        <f>AW823+AX823</f>
        <v>0</v>
      </c>
      <c r="AW823" s="28">
        <f>F823*AO823</f>
        <v>0</v>
      </c>
      <c r="AX823" s="28">
        <f>F823*AP823</f>
        <v>0</v>
      </c>
      <c r="AY823" s="30" t="s">
        <v>88</v>
      </c>
      <c r="AZ823" s="30" t="s">
        <v>1468</v>
      </c>
      <c r="BA823" s="10" t="s">
        <v>1469</v>
      </c>
      <c r="BC823" s="28">
        <f>AW823+AX823</f>
        <v>0</v>
      </c>
      <c r="BD823" s="28">
        <f>G823/(100-BE823)*100</f>
        <v>0</v>
      </c>
      <c r="BE823" s="28">
        <v>0</v>
      </c>
      <c r="BF823" s="28">
        <f>823</f>
        <v>823</v>
      </c>
      <c r="BH823" s="28">
        <f>F823*AO823</f>
        <v>0</v>
      </c>
      <c r="BI823" s="28">
        <f>F823*AP823</f>
        <v>0</v>
      </c>
      <c r="BJ823" s="28">
        <f>F823*G823</f>
        <v>0</v>
      </c>
      <c r="BK823" s="28"/>
      <c r="BL823" s="28"/>
      <c r="BW823" s="28">
        <v>21</v>
      </c>
    </row>
    <row r="824" spans="1:75" x14ac:dyDescent="0.25">
      <c r="A824" s="31"/>
      <c r="C824" s="32" t="s">
        <v>1470</v>
      </c>
      <c r="D824" s="32" t="s">
        <v>52</v>
      </c>
      <c r="F824" s="33">
        <v>72.588999999999999</v>
      </c>
      <c r="K824" s="34"/>
    </row>
    <row r="825" spans="1:75" ht="13.5" customHeight="1" x14ac:dyDescent="0.25">
      <c r="A825" s="2" t="s">
        <v>1471</v>
      </c>
      <c r="B825" s="3" t="s">
        <v>1472</v>
      </c>
      <c r="C825" s="83" t="s">
        <v>1473</v>
      </c>
      <c r="D825" s="80"/>
      <c r="E825" s="3" t="s">
        <v>71</v>
      </c>
      <c r="F825" s="28">
        <v>11.44</v>
      </c>
      <c r="G825" s="28">
        <v>0</v>
      </c>
      <c r="H825" s="28">
        <f>F825*AO825</f>
        <v>0</v>
      </c>
      <c r="I825" s="28">
        <f>F825*AP825</f>
        <v>0</v>
      </c>
      <c r="J825" s="28">
        <f>F825*G825</f>
        <v>0</v>
      </c>
      <c r="K825" s="29" t="s">
        <v>1474</v>
      </c>
      <c r="Z825" s="28">
        <f>IF(AQ825="5",BJ825,0)</f>
        <v>0</v>
      </c>
      <c r="AB825" s="28">
        <f>IF(AQ825="1",BH825,0)</f>
        <v>0</v>
      </c>
      <c r="AC825" s="28">
        <f>IF(AQ825="1",BI825,0)</f>
        <v>0</v>
      </c>
      <c r="AD825" s="28">
        <f>IF(AQ825="7",BH825,0)</f>
        <v>0</v>
      </c>
      <c r="AE825" s="28">
        <f>IF(AQ825="7",BI825,0)</f>
        <v>0</v>
      </c>
      <c r="AF825" s="28">
        <f>IF(AQ825="2",BH825,0)</f>
        <v>0</v>
      </c>
      <c r="AG825" s="28">
        <f>IF(AQ825="2",BI825,0)</f>
        <v>0</v>
      </c>
      <c r="AH825" s="28">
        <f>IF(AQ825="0",BJ825,0)</f>
        <v>0</v>
      </c>
      <c r="AI825" s="10" t="s">
        <v>1466</v>
      </c>
      <c r="AJ825" s="28">
        <f>IF(AN825=0,J825,0)</f>
        <v>0</v>
      </c>
      <c r="AK825" s="28">
        <f>IF(AN825=12,J825,0)</f>
        <v>0</v>
      </c>
      <c r="AL825" s="28">
        <f>IF(AN825=21,J825,0)</f>
        <v>0</v>
      </c>
      <c r="AN825" s="28">
        <v>21</v>
      </c>
      <c r="AO825" s="28">
        <f>G825*0</f>
        <v>0</v>
      </c>
      <c r="AP825" s="28">
        <f>G825*(1-0)</f>
        <v>0</v>
      </c>
      <c r="AQ825" s="30" t="s">
        <v>87</v>
      </c>
      <c r="AV825" s="28">
        <f>AW825+AX825</f>
        <v>0</v>
      </c>
      <c r="AW825" s="28">
        <f>F825*AO825</f>
        <v>0</v>
      </c>
      <c r="AX825" s="28">
        <f>F825*AP825</f>
        <v>0</v>
      </c>
      <c r="AY825" s="30" t="s">
        <v>88</v>
      </c>
      <c r="AZ825" s="30" t="s">
        <v>1468</v>
      </c>
      <c r="BA825" s="10" t="s">
        <v>1469</v>
      </c>
      <c r="BC825" s="28">
        <f>AW825+AX825</f>
        <v>0</v>
      </c>
      <c r="BD825" s="28">
        <f>G825/(100-BE825)*100</f>
        <v>0</v>
      </c>
      <c r="BE825" s="28">
        <v>0</v>
      </c>
      <c r="BF825" s="28">
        <f>825</f>
        <v>825</v>
      </c>
      <c r="BH825" s="28">
        <f>F825*AO825</f>
        <v>0</v>
      </c>
      <c r="BI825" s="28">
        <f>F825*AP825</f>
        <v>0</v>
      </c>
      <c r="BJ825" s="28">
        <f>F825*G825</f>
        <v>0</v>
      </c>
      <c r="BK825" s="28"/>
      <c r="BL825" s="28"/>
      <c r="BW825" s="28">
        <v>21</v>
      </c>
    </row>
    <row r="826" spans="1:75" x14ac:dyDescent="0.25">
      <c r="A826" s="31"/>
      <c r="C826" s="32" t="s">
        <v>1475</v>
      </c>
      <c r="D826" s="32" t="s">
        <v>52</v>
      </c>
      <c r="F826" s="33">
        <v>11.44</v>
      </c>
      <c r="K826" s="34"/>
    </row>
    <row r="827" spans="1:75" x14ac:dyDescent="0.25">
      <c r="A827" s="24" t="s">
        <v>52</v>
      </c>
      <c r="B827" s="25" t="s">
        <v>119</v>
      </c>
      <c r="C827" s="139" t="s">
        <v>120</v>
      </c>
      <c r="D827" s="140"/>
      <c r="E827" s="26" t="s">
        <v>4</v>
      </c>
      <c r="F827" s="26" t="s">
        <v>4</v>
      </c>
      <c r="G827" s="26" t="s">
        <v>4</v>
      </c>
      <c r="H827" s="1">
        <f>SUM(H828:H836)</f>
        <v>0</v>
      </c>
      <c r="I827" s="1">
        <f>SUM(I828:I836)</f>
        <v>0</v>
      </c>
      <c r="J827" s="1">
        <f>SUM(J828:J836)</f>
        <v>0</v>
      </c>
      <c r="K827" s="27" t="s">
        <v>52</v>
      </c>
      <c r="AI827" s="10" t="s">
        <v>1466</v>
      </c>
      <c r="AS827" s="1">
        <f>SUM(AJ828:AJ836)</f>
        <v>0</v>
      </c>
      <c r="AT827" s="1">
        <f>SUM(AK828:AK836)</f>
        <v>0</v>
      </c>
      <c r="AU827" s="1">
        <f>SUM(AL828:AL836)</f>
        <v>0</v>
      </c>
    </row>
    <row r="828" spans="1:75" ht="13.5" customHeight="1" x14ac:dyDescent="0.25">
      <c r="A828" s="2" t="s">
        <v>1476</v>
      </c>
      <c r="B828" s="3" t="s">
        <v>1477</v>
      </c>
      <c r="C828" s="83" t="s">
        <v>1478</v>
      </c>
      <c r="D828" s="80"/>
      <c r="E828" s="3" t="s">
        <v>148</v>
      </c>
      <c r="F828" s="28">
        <v>52.02</v>
      </c>
      <c r="G828" s="28">
        <v>0</v>
      </c>
      <c r="H828" s="28">
        <f>F828*AO828</f>
        <v>0</v>
      </c>
      <c r="I828" s="28">
        <f>F828*AP828</f>
        <v>0</v>
      </c>
      <c r="J828" s="28">
        <f>F828*G828</f>
        <v>0</v>
      </c>
      <c r="K828" s="29" t="s">
        <v>61</v>
      </c>
      <c r="Z828" s="28">
        <f>IF(AQ828="5",BJ828,0)</f>
        <v>0</v>
      </c>
      <c r="AB828" s="28">
        <f>IF(AQ828="1",BH828,0)</f>
        <v>0</v>
      </c>
      <c r="AC828" s="28">
        <f>IF(AQ828="1",BI828,0)</f>
        <v>0</v>
      </c>
      <c r="AD828" s="28">
        <f>IF(AQ828="7",BH828,0)</f>
        <v>0</v>
      </c>
      <c r="AE828" s="28">
        <f>IF(AQ828="7",BI828,0)</f>
        <v>0</v>
      </c>
      <c r="AF828" s="28">
        <f>IF(AQ828="2",BH828,0)</f>
        <v>0</v>
      </c>
      <c r="AG828" s="28">
        <f>IF(AQ828="2",BI828,0)</f>
        <v>0</v>
      </c>
      <c r="AH828" s="28">
        <f>IF(AQ828="0",BJ828,0)</f>
        <v>0</v>
      </c>
      <c r="AI828" s="10" t="s">
        <v>1466</v>
      </c>
      <c r="AJ828" s="28">
        <f>IF(AN828=0,J828,0)</f>
        <v>0</v>
      </c>
      <c r="AK828" s="28">
        <f>IF(AN828=12,J828,0)</f>
        <v>0</v>
      </c>
      <c r="AL828" s="28">
        <f>IF(AN828=21,J828,0)</f>
        <v>0</v>
      </c>
      <c r="AN828" s="28">
        <v>21</v>
      </c>
      <c r="AO828" s="28">
        <f>G828*0</f>
        <v>0</v>
      </c>
      <c r="AP828" s="28">
        <f>G828*(1-0)</f>
        <v>0</v>
      </c>
      <c r="AQ828" s="30" t="s">
        <v>57</v>
      </c>
      <c r="AV828" s="28">
        <f>AW828+AX828</f>
        <v>0</v>
      </c>
      <c r="AW828" s="28">
        <f>F828*AO828</f>
        <v>0</v>
      </c>
      <c r="AX828" s="28">
        <f>F828*AP828</f>
        <v>0</v>
      </c>
      <c r="AY828" s="30" t="s">
        <v>123</v>
      </c>
      <c r="AZ828" s="30" t="s">
        <v>1479</v>
      </c>
      <c r="BA828" s="10" t="s">
        <v>1469</v>
      </c>
      <c r="BC828" s="28">
        <f>AW828+AX828</f>
        <v>0</v>
      </c>
      <c r="BD828" s="28">
        <f>G828/(100-BE828)*100</f>
        <v>0</v>
      </c>
      <c r="BE828" s="28">
        <v>0</v>
      </c>
      <c r="BF828" s="28">
        <f>828</f>
        <v>828</v>
      </c>
      <c r="BH828" s="28">
        <f>F828*AO828</f>
        <v>0</v>
      </c>
      <c r="BI828" s="28">
        <f>F828*AP828</f>
        <v>0</v>
      </c>
      <c r="BJ828" s="28">
        <f>F828*G828</f>
        <v>0</v>
      </c>
      <c r="BK828" s="28"/>
      <c r="BL828" s="28">
        <v>11</v>
      </c>
      <c r="BW828" s="28">
        <v>21</v>
      </c>
    </row>
    <row r="829" spans="1:75" x14ac:dyDescent="0.25">
      <c r="A829" s="31"/>
      <c r="C829" s="32" t="s">
        <v>1480</v>
      </c>
      <c r="D829" s="32" t="s">
        <v>1481</v>
      </c>
      <c r="F829" s="33">
        <v>52.02</v>
      </c>
      <c r="K829" s="34"/>
    </row>
    <row r="830" spans="1:75" x14ac:dyDescent="0.25">
      <c r="A830" s="31"/>
      <c r="C830" s="32" t="s">
        <v>52</v>
      </c>
      <c r="D830" s="32" t="s">
        <v>1482</v>
      </c>
      <c r="F830" s="33">
        <v>0</v>
      </c>
      <c r="K830" s="34"/>
    </row>
    <row r="831" spans="1:75" ht="13.5" customHeight="1" x14ac:dyDescent="0.25">
      <c r="A831" s="2" t="s">
        <v>1483</v>
      </c>
      <c r="B831" s="3" t="s">
        <v>1484</v>
      </c>
      <c r="C831" s="83" t="s">
        <v>1485</v>
      </c>
      <c r="D831" s="80"/>
      <c r="E831" s="3" t="s">
        <v>148</v>
      </c>
      <c r="F831" s="28">
        <v>82.49</v>
      </c>
      <c r="G831" s="28">
        <v>0</v>
      </c>
      <c r="H831" s="28">
        <f>F831*AO831</f>
        <v>0</v>
      </c>
      <c r="I831" s="28">
        <f>F831*AP831</f>
        <v>0</v>
      </c>
      <c r="J831" s="28">
        <f>F831*G831</f>
        <v>0</v>
      </c>
      <c r="K831" s="29" t="s">
        <v>61</v>
      </c>
      <c r="Z831" s="28">
        <f>IF(AQ831="5",BJ831,0)</f>
        <v>0</v>
      </c>
      <c r="AB831" s="28">
        <f>IF(AQ831="1",BH831,0)</f>
        <v>0</v>
      </c>
      <c r="AC831" s="28">
        <f>IF(AQ831="1",BI831,0)</f>
        <v>0</v>
      </c>
      <c r="AD831" s="28">
        <f>IF(AQ831="7",BH831,0)</f>
        <v>0</v>
      </c>
      <c r="AE831" s="28">
        <f>IF(AQ831="7",BI831,0)</f>
        <v>0</v>
      </c>
      <c r="AF831" s="28">
        <f>IF(AQ831="2",BH831,0)</f>
        <v>0</v>
      </c>
      <c r="AG831" s="28">
        <f>IF(AQ831="2",BI831,0)</f>
        <v>0</v>
      </c>
      <c r="AH831" s="28">
        <f>IF(AQ831="0",BJ831,0)</f>
        <v>0</v>
      </c>
      <c r="AI831" s="10" t="s">
        <v>1466</v>
      </c>
      <c r="AJ831" s="28">
        <f>IF(AN831=0,J831,0)</f>
        <v>0</v>
      </c>
      <c r="AK831" s="28">
        <f>IF(AN831=12,J831,0)</f>
        <v>0</v>
      </c>
      <c r="AL831" s="28">
        <f>IF(AN831=21,J831,0)</f>
        <v>0</v>
      </c>
      <c r="AN831" s="28">
        <v>21</v>
      </c>
      <c r="AO831" s="28">
        <f>G831*0</f>
        <v>0</v>
      </c>
      <c r="AP831" s="28">
        <f>G831*(1-0)</f>
        <v>0</v>
      </c>
      <c r="AQ831" s="30" t="s">
        <v>57</v>
      </c>
      <c r="AV831" s="28">
        <f>AW831+AX831</f>
        <v>0</v>
      </c>
      <c r="AW831" s="28">
        <f>F831*AO831</f>
        <v>0</v>
      </c>
      <c r="AX831" s="28">
        <f>F831*AP831</f>
        <v>0</v>
      </c>
      <c r="AY831" s="30" t="s">
        <v>123</v>
      </c>
      <c r="AZ831" s="30" t="s">
        <v>1479</v>
      </c>
      <c r="BA831" s="10" t="s">
        <v>1469</v>
      </c>
      <c r="BC831" s="28">
        <f>AW831+AX831</f>
        <v>0</v>
      </c>
      <c r="BD831" s="28">
        <f>G831/(100-BE831)*100</f>
        <v>0</v>
      </c>
      <c r="BE831" s="28">
        <v>0</v>
      </c>
      <c r="BF831" s="28">
        <f>831</f>
        <v>831</v>
      </c>
      <c r="BH831" s="28">
        <f>F831*AO831</f>
        <v>0</v>
      </c>
      <c r="BI831" s="28">
        <f>F831*AP831</f>
        <v>0</v>
      </c>
      <c r="BJ831" s="28">
        <f>F831*G831</f>
        <v>0</v>
      </c>
      <c r="BK831" s="28"/>
      <c r="BL831" s="28">
        <v>11</v>
      </c>
      <c r="BW831" s="28">
        <v>21</v>
      </c>
    </row>
    <row r="832" spans="1:75" x14ac:dyDescent="0.25">
      <c r="A832" s="31"/>
      <c r="C832" s="32" t="s">
        <v>1480</v>
      </c>
      <c r="D832" s="32" t="s">
        <v>1481</v>
      </c>
      <c r="F832" s="33">
        <v>52.02</v>
      </c>
      <c r="K832" s="34"/>
    </row>
    <row r="833" spans="1:75" x14ac:dyDescent="0.25">
      <c r="A833" s="31"/>
      <c r="C833" s="32" t="s">
        <v>1486</v>
      </c>
      <c r="D833" s="32" t="s">
        <v>1487</v>
      </c>
      <c r="F833" s="33">
        <v>30.47</v>
      </c>
      <c r="K833" s="34"/>
    </row>
    <row r="834" spans="1:75" ht="13.5" customHeight="1" x14ac:dyDescent="0.25">
      <c r="A834" s="2" t="s">
        <v>1488</v>
      </c>
      <c r="B834" s="3" t="s">
        <v>1489</v>
      </c>
      <c r="C834" s="83" t="s">
        <v>1490</v>
      </c>
      <c r="D834" s="80"/>
      <c r="E834" s="3" t="s">
        <v>148</v>
      </c>
      <c r="F834" s="28">
        <v>82.49</v>
      </c>
      <c r="G834" s="28">
        <v>0</v>
      </c>
      <c r="H834" s="28">
        <f>F834*AO834</f>
        <v>0</v>
      </c>
      <c r="I834" s="28">
        <f>F834*AP834</f>
        <v>0</v>
      </c>
      <c r="J834" s="28">
        <f>F834*G834</f>
        <v>0</v>
      </c>
      <c r="K834" s="29" t="s">
        <v>1491</v>
      </c>
      <c r="Z834" s="28">
        <f>IF(AQ834="5",BJ834,0)</f>
        <v>0</v>
      </c>
      <c r="AB834" s="28">
        <f>IF(AQ834="1",BH834,0)</f>
        <v>0</v>
      </c>
      <c r="AC834" s="28">
        <f>IF(AQ834="1",BI834,0)</f>
        <v>0</v>
      </c>
      <c r="AD834" s="28">
        <f>IF(AQ834="7",BH834,0)</f>
        <v>0</v>
      </c>
      <c r="AE834" s="28">
        <f>IF(AQ834="7",BI834,0)</f>
        <v>0</v>
      </c>
      <c r="AF834" s="28">
        <f>IF(AQ834="2",BH834,0)</f>
        <v>0</v>
      </c>
      <c r="AG834" s="28">
        <f>IF(AQ834="2",BI834,0)</f>
        <v>0</v>
      </c>
      <c r="AH834" s="28">
        <f>IF(AQ834="0",BJ834,0)</f>
        <v>0</v>
      </c>
      <c r="AI834" s="10" t="s">
        <v>1466</v>
      </c>
      <c r="AJ834" s="28">
        <f>IF(AN834=0,J834,0)</f>
        <v>0</v>
      </c>
      <c r="AK834" s="28">
        <f>IF(AN834=12,J834,0)</f>
        <v>0</v>
      </c>
      <c r="AL834" s="28">
        <f>IF(AN834=21,J834,0)</f>
        <v>0</v>
      </c>
      <c r="AN834" s="28">
        <v>21</v>
      </c>
      <c r="AO834" s="28">
        <f>G834*0</f>
        <v>0</v>
      </c>
      <c r="AP834" s="28">
        <f>G834*(1-0)</f>
        <v>0</v>
      </c>
      <c r="AQ834" s="30" t="s">
        <v>57</v>
      </c>
      <c r="AV834" s="28">
        <f>AW834+AX834</f>
        <v>0</v>
      </c>
      <c r="AW834" s="28">
        <f>F834*AO834</f>
        <v>0</v>
      </c>
      <c r="AX834" s="28">
        <f>F834*AP834</f>
        <v>0</v>
      </c>
      <c r="AY834" s="30" t="s">
        <v>123</v>
      </c>
      <c r="AZ834" s="30" t="s">
        <v>1479</v>
      </c>
      <c r="BA834" s="10" t="s">
        <v>1469</v>
      </c>
      <c r="BC834" s="28">
        <f>AW834+AX834</f>
        <v>0</v>
      </c>
      <c r="BD834" s="28">
        <f>G834/(100-BE834)*100</f>
        <v>0</v>
      </c>
      <c r="BE834" s="28">
        <v>0</v>
      </c>
      <c r="BF834" s="28">
        <f>834</f>
        <v>834</v>
      </c>
      <c r="BH834" s="28">
        <f>F834*AO834</f>
        <v>0</v>
      </c>
      <c r="BI834" s="28">
        <f>F834*AP834</f>
        <v>0</v>
      </c>
      <c r="BJ834" s="28">
        <f>F834*G834</f>
        <v>0</v>
      </c>
      <c r="BK834" s="28"/>
      <c r="BL834" s="28">
        <v>11</v>
      </c>
      <c r="BW834" s="28">
        <v>21</v>
      </c>
    </row>
    <row r="835" spans="1:75" x14ac:dyDescent="0.25">
      <c r="A835" s="31"/>
      <c r="C835" s="32" t="s">
        <v>1492</v>
      </c>
      <c r="D835" s="32" t="s">
        <v>52</v>
      </c>
      <c r="F835" s="33">
        <v>82.49</v>
      </c>
      <c r="K835" s="34"/>
    </row>
    <row r="836" spans="1:75" ht="13.5" customHeight="1" x14ac:dyDescent="0.25">
      <c r="A836" s="2" t="s">
        <v>1493</v>
      </c>
      <c r="B836" s="3" t="s">
        <v>1494</v>
      </c>
      <c r="C836" s="83" t="s">
        <v>1495</v>
      </c>
      <c r="D836" s="80"/>
      <c r="E836" s="3" t="s">
        <v>1430</v>
      </c>
      <c r="F836" s="28">
        <v>16</v>
      </c>
      <c r="G836" s="28">
        <v>0</v>
      </c>
      <c r="H836" s="28">
        <f>F836*AO836</f>
        <v>0</v>
      </c>
      <c r="I836" s="28">
        <f>F836*AP836</f>
        <v>0</v>
      </c>
      <c r="J836" s="28">
        <f>F836*G836</f>
        <v>0</v>
      </c>
      <c r="K836" s="29" t="s">
        <v>61</v>
      </c>
      <c r="Z836" s="28">
        <f>IF(AQ836="5",BJ836,0)</f>
        <v>0</v>
      </c>
      <c r="AB836" s="28">
        <f>IF(AQ836="1",BH836,0)</f>
        <v>0</v>
      </c>
      <c r="AC836" s="28">
        <f>IF(AQ836="1",BI836,0)</f>
        <v>0</v>
      </c>
      <c r="AD836" s="28">
        <f>IF(AQ836="7",BH836,0)</f>
        <v>0</v>
      </c>
      <c r="AE836" s="28">
        <f>IF(AQ836="7",BI836,0)</f>
        <v>0</v>
      </c>
      <c r="AF836" s="28">
        <f>IF(AQ836="2",BH836,0)</f>
        <v>0</v>
      </c>
      <c r="AG836" s="28">
        <f>IF(AQ836="2",BI836,0)</f>
        <v>0</v>
      </c>
      <c r="AH836" s="28">
        <f>IF(AQ836="0",BJ836,0)</f>
        <v>0</v>
      </c>
      <c r="AI836" s="10" t="s">
        <v>1466</v>
      </c>
      <c r="AJ836" s="28">
        <f>IF(AN836=0,J836,0)</f>
        <v>0</v>
      </c>
      <c r="AK836" s="28">
        <f>IF(AN836=12,J836,0)</f>
        <v>0</v>
      </c>
      <c r="AL836" s="28">
        <f>IF(AN836=21,J836,0)</f>
        <v>0</v>
      </c>
      <c r="AN836" s="28">
        <v>21</v>
      </c>
      <c r="AO836" s="28">
        <f>G836*0</f>
        <v>0</v>
      </c>
      <c r="AP836" s="28">
        <f>G836*(1-0)</f>
        <v>0</v>
      </c>
      <c r="AQ836" s="30" t="s">
        <v>57</v>
      </c>
      <c r="AV836" s="28">
        <f>AW836+AX836</f>
        <v>0</v>
      </c>
      <c r="AW836" s="28">
        <f>F836*AO836</f>
        <v>0</v>
      </c>
      <c r="AX836" s="28">
        <f>F836*AP836</f>
        <v>0</v>
      </c>
      <c r="AY836" s="30" t="s">
        <v>123</v>
      </c>
      <c r="AZ836" s="30" t="s">
        <v>1479</v>
      </c>
      <c r="BA836" s="10" t="s">
        <v>1469</v>
      </c>
      <c r="BC836" s="28">
        <f>AW836+AX836</f>
        <v>0</v>
      </c>
      <c r="BD836" s="28">
        <f>G836/(100-BE836)*100</f>
        <v>0</v>
      </c>
      <c r="BE836" s="28">
        <v>0</v>
      </c>
      <c r="BF836" s="28">
        <f>836</f>
        <v>836</v>
      </c>
      <c r="BH836" s="28">
        <f>F836*AO836</f>
        <v>0</v>
      </c>
      <c r="BI836" s="28">
        <f>F836*AP836</f>
        <v>0</v>
      </c>
      <c r="BJ836" s="28">
        <f>F836*G836</f>
        <v>0</v>
      </c>
      <c r="BK836" s="28"/>
      <c r="BL836" s="28">
        <v>11</v>
      </c>
      <c r="BW836" s="28">
        <v>21</v>
      </c>
    </row>
    <row r="837" spans="1:75" x14ac:dyDescent="0.25">
      <c r="A837" s="24" t="s">
        <v>52</v>
      </c>
      <c r="B837" s="25" t="s">
        <v>174</v>
      </c>
      <c r="C837" s="139" t="s">
        <v>330</v>
      </c>
      <c r="D837" s="140"/>
      <c r="E837" s="26" t="s">
        <v>4</v>
      </c>
      <c r="F837" s="26" t="s">
        <v>4</v>
      </c>
      <c r="G837" s="26" t="s">
        <v>4</v>
      </c>
      <c r="H837" s="1">
        <f>SUM(H838:H838)</f>
        <v>0</v>
      </c>
      <c r="I837" s="1">
        <f>SUM(I838:I838)</f>
        <v>0</v>
      </c>
      <c r="J837" s="1">
        <f>SUM(J838:J838)</f>
        <v>0</v>
      </c>
      <c r="K837" s="27" t="s">
        <v>52</v>
      </c>
      <c r="AI837" s="10" t="s">
        <v>1466</v>
      </c>
      <c r="AS837" s="1">
        <f>SUM(AJ838:AJ838)</f>
        <v>0</v>
      </c>
      <c r="AT837" s="1">
        <f>SUM(AK838:AK838)</f>
        <v>0</v>
      </c>
      <c r="AU837" s="1">
        <f>SUM(AL838:AL838)</f>
        <v>0</v>
      </c>
    </row>
    <row r="838" spans="1:75" ht="13.5" customHeight="1" x14ac:dyDescent="0.25">
      <c r="A838" s="2" t="s">
        <v>1496</v>
      </c>
      <c r="B838" s="3" t="s">
        <v>332</v>
      </c>
      <c r="C838" s="83" t="s">
        <v>333</v>
      </c>
      <c r="D838" s="80"/>
      <c r="E838" s="3" t="s">
        <v>148</v>
      </c>
      <c r="F838" s="28">
        <v>82.49</v>
      </c>
      <c r="G838" s="28">
        <v>0</v>
      </c>
      <c r="H838" s="28">
        <f>F838*AO838</f>
        <v>0</v>
      </c>
      <c r="I838" s="28">
        <f>F838*AP838</f>
        <v>0</v>
      </c>
      <c r="J838" s="28">
        <f>F838*G838</f>
        <v>0</v>
      </c>
      <c r="K838" s="29" t="s">
        <v>61</v>
      </c>
      <c r="Z838" s="28">
        <f>IF(AQ838="5",BJ838,0)</f>
        <v>0</v>
      </c>
      <c r="AB838" s="28">
        <f>IF(AQ838="1",BH838,0)</f>
        <v>0</v>
      </c>
      <c r="AC838" s="28">
        <f>IF(AQ838="1",BI838,0)</f>
        <v>0</v>
      </c>
      <c r="AD838" s="28">
        <f>IF(AQ838="7",BH838,0)</f>
        <v>0</v>
      </c>
      <c r="AE838" s="28">
        <f>IF(AQ838="7",BI838,0)</f>
        <v>0</v>
      </c>
      <c r="AF838" s="28">
        <f>IF(AQ838="2",BH838,0)</f>
        <v>0</v>
      </c>
      <c r="AG838" s="28">
        <f>IF(AQ838="2",BI838,0)</f>
        <v>0</v>
      </c>
      <c r="AH838" s="28">
        <f>IF(AQ838="0",BJ838,0)</f>
        <v>0</v>
      </c>
      <c r="AI838" s="10" t="s">
        <v>1466</v>
      </c>
      <c r="AJ838" s="28">
        <f>IF(AN838=0,J838,0)</f>
        <v>0</v>
      </c>
      <c r="AK838" s="28">
        <f>IF(AN838=12,J838,0)</f>
        <v>0</v>
      </c>
      <c r="AL838" s="28">
        <f>IF(AN838=21,J838,0)</f>
        <v>0</v>
      </c>
      <c r="AN838" s="28">
        <v>21</v>
      </c>
      <c r="AO838" s="28">
        <f>G838*0</f>
        <v>0</v>
      </c>
      <c r="AP838" s="28">
        <f>G838*(1-0)</f>
        <v>0</v>
      </c>
      <c r="AQ838" s="30" t="s">
        <v>57</v>
      </c>
      <c r="AV838" s="28">
        <f>AW838+AX838</f>
        <v>0</v>
      </c>
      <c r="AW838" s="28">
        <f>F838*AO838</f>
        <v>0</v>
      </c>
      <c r="AX838" s="28">
        <f>F838*AP838</f>
        <v>0</v>
      </c>
      <c r="AY838" s="30" t="s">
        <v>334</v>
      </c>
      <c r="AZ838" s="30" t="s">
        <v>1497</v>
      </c>
      <c r="BA838" s="10" t="s">
        <v>1469</v>
      </c>
      <c r="BC838" s="28">
        <f>AW838+AX838</f>
        <v>0</v>
      </c>
      <c r="BD838" s="28">
        <f>G838/(100-BE838)*100</f>
        <v>0</v>
      </c>
      <c r="BE838" s="28">
        <v>0</v>
      </c>
      <c r="BF838" s="28">
        <f>838</f>
        <v>838</v>
      </c>
      <c r="BH838" s="28">
        <f>F838*AO838</f>
        <v>0</v>
      </c>
      <c r="BI838" s="28">
        <f>F838*AP838</f>
        <v>0</v>
      </c>
      <c r="BJ838" s="28">
        <f>F838*G838</f>
        <v>0</v>
      </c>
      <c r="BK838" s="28"/>
      <c r="BL838" s="28">
        <v>21</v>
      </c>
      <c r="BW838" s="28">
        <v>21</v>
      </c>
    </row>
    <row r="839" spans="1:75" x14ac:dyDescent="0.25">
      <c r="A839" s="31"/>
      <c r="C839" s="32" t="s">
        <v>1480</v>
      </c>
      <c r="D839" s="32" t="s">
        <v>1481</v>
      </c>
      <c r="F839" s="33">
        <v>52.02</v>
      </c>
      <c r="K839" s="34"/>
    </row>
    <row r="840" spans="1:75" x14ac:dyDescent="0.25">
      <c r="A840" s="31"/>
      <c r="C840" s="32" t="s">
        <v>1486</v>
      </c>
      <c r="D840" s="32" t="s">
        <v>1487</v>
      </c>
      <c r="F840" s="33">
        <v>30.47</v>
      </c>
      <c r="K840" s="34"/>
    </row>
    <row r="841" spans="1:75" x14ac:dyDescent="0.25">
      <c r="A841" s="24" t="s">
        <v>52</v>
      </c>
      <c r="B841" s="25" t="s">
        <v>410</v>
      </c>
      <c r="C841" s="139" t="s">
        <v>698</v>
      </c>
      <c r="D841" s="140"/>
      <c r="E841" s="26" t="s">
        <v>4</v>
      </c>
      <c r="F841" s="26" t="s">
        <v>4</v>
      </c>
      <c r="G841" s="26" t="s">
        <v>4</v>
      </c>
      <c r="H841" s="1">
        <f>SUM(H842:H854)</f>
        <v>0</v>
      </c>
      <c r="I841" s="1">
        <f>SUM(I842:I854)</f>
        <v>0</v>
      </c>
      <c r="J841" s="1">
        <f>SUM(J842:J854)</f>
        <v>0</v>
      </c>
      <c r="K841" s="27" t="s">
        <v>52</v>
      </c>
      <c r="AI841" s="10" t="s">
        <v>1466</v>
      </c>
      <c r="AS841" s="1">
        <f>SUM(AJ842:AJ854)</f>
        <v>0</v>
      </c>
      <c r="AT841" s="1">
        <f>SUM(AK842:AK854)</f>
        <v>0</v>
      </c>
      <c r="AU841" s="1">
        <f>SUM(AL842:AL854)</f>
        <v>0</v>
      </c>
    </row>
    <row r="842" spans="1:75" ht="13.5" customHeight="1" x14ac:dyDescent="0.25">
      <c r="A842" s="2" t="s">
        <v>1498</v>
      </c>
      <c r="B842" s="3" t="s">
        <v>1499</v>
      </c>
      <c r="C842" s="83" t="s">
        <v>1500</v>
      </c>
      <c r="D842" s="80"/>
      <c r="E842" s="3" t="s">
        <v>148</v>
      </c>
      <c r="F842" s="28">
        <v>82.49</v>
      </c>
      <c r="G842" s="28">
        <v>0</v>
      </c>
      <c r="H842" s="28">
        <f>F842*AO842</f>
        <v>0</v>
      </c>
      <c r="I842" s="28">
        <f>F842*AP842</f>
        <v>0</v>
      </c>
      <c r="J842" s="28">
        <f>F842*G842</f>
        <v>0</v>
      </c>
      <c r="K842" s="29" t="s">
        <v>61</v>
      </c>
      <c r="Z842" s="28">
        <f>IF(AQ842="5",BJ842,0)</f>
        <v>0</v>
      </c>
      <c r="AB842" s="28">
        <f>IF(AQ842="1",BH842,0)</f>
        <v>0</v>
      </c>
      <c r="AC842" s="28">
        <f>IF(AQ842="1",BI842,0)</f>
        <v>0</v>
      </c>
      <c r="AD842" s="28">
        <f>IF(AQ842="7",BH842,0)</f>
        <v>0</v>
      </c>
      <c r="AE842" s="28">
        <f>IF(AQ842="7",BI842,0)</f>
        <v>0</v>
      </c>
      <c r="AF842" s="28">
        <f>IF(AQ842="2",BH842,0)</f>
        <v>0</v>
      </c>
      <c r="AG842" s="28">
        <f>IF(AQ842="2",BI842,0)</f>
        <v>0</v>
      </c>
      <c r="AH842" s="28">
        <f>IF(AQ842="0",BJ842,0)</f>
        <v>0</v>
      </c>
      <c r="AI842" s="10" t="s">
        <v>1466</v>
      </c>
      <c r="AJ842" s="28">
        <f>IF(AN842=0,J842,0)</f>
        <v>0</v>
      </c>
      <c r="AK842" s="28">
        <f>IF(AN842=12,J842,0)</f>
        <v>0</v>
      </c>
      <c r="AL842" s="28">
        <f>IF(AN842=21,J842,0)</f>
        <v>0</v>
      </c>
      <c r="AN842" s="28">
        <v>21</v>
      </c>
      <c r="AO842" s="28">
        <f>G842*0.845550941</f>
        <v>0</v>
      </c>
      <c r="AP842" s="28">
        <f>G842*(1-0.845550941)</f>
        <v>0</v>
      </c>
      <c r="AQ842" s="30" t="s">
        <v>57</v>
      </c>
      <c r="AV842" s="28">
        <f>AW842+AX842</f>
        <v>0</v>
      </c>
      <c r="AW842" s="28">
        <f>F842*AO842</f>
        <v>0</v>
      </c>
      <c r="AX842" s="28">
        <f>F842*AP842</f>
        <v>0</v>
      </c>
      <c r="AY842" s="30" t="s">
        <v>702</v>
      </c>
      <c r="AZ842" s="30" t="s">
        <v>1501</v>
      </c>
      <c r="BA842" s="10" t="s">
        <v>1469</v>
      </c>
      <c r="BC842" s="28">
        <f>AW842+AX842</f>
        <v>0</v>
      </c>
      <c r="BD842" s="28">
        <f>G842/(100-BE842)*100</f>
        <v>0</v>
      </c>
      <c r="BE842" s="28">
        <v>0</v>
      </c>
      <c r="BF842" s="28">
        <f>842</f>
        <v>842</v>
      </c>
      <c r="BH842" s="28">
        <f>F842*AO842</f>
        <v>0</v>
      </c>
      <c r="BI842" s="28">
        <f>F842*AP842</f>
        <v>0</v>
      </c>
      <c r="BJ842" s="28">
        <f>F842*G842</f>
        <v>0</v>
      </c>
      <c r="BK842" s="28"/>
      <c r="BL842" s="28">
        <v>56</v>
      </c>
      <c r="BW842" s="28">
        <v>21</v>
      </c>
    </row>
    <row r="843" spans="1:75" x14ac:dyDescent="0.25">
      <c r="A843" s="31"/>
      <c r="C843" s="32" t="s">
        <v>1480</v>
      </c>
      <c r="D843" s="32" t="s">
        <v>1481</v>
      </c>
      <c r="F843" s="33">
        <v>52.02</v>
      </c>
      <c r="K843" s="34"/>
    </row>
    <row r="844" spans="1:75" x14ac:dyDescent="0.25">
      <c r="A844" s="31"/>
      <c r="C844" s="32" t="s">
        <v>1486</v>
      </c>
      <c r="D844" s="32" t="s">
        <v>1487</v>
      </c>
      <c r="F844" s="33">
        <v>30.47</v>
      </c>
      <c r="K844" s="34"/>
    </row>
    <row r="845" spans="1:75" ht="13.5" customHeight="1" x14ac:dyDescent="0.25">
      <c r="A845" s="2" t="s">
        <v>1502</v>
      </c>
      <c r="B845" s="3" t="s">
        <v>1503</v>
      </c>
      <c r="C845" s="83" t="s">
        <v>1504</v>
      </c>
      <c r="D845" s="80"/>
      <c r="E845" s="3" t="s">
        <v>148</v>
      </c>
      <c r="F845" s="28">
        <v>71.89</v>
      </c>
      <c r="G845" s="28">
        <v>0</v>
      </c>
      <c r="H845" s="28">
        <f>F845*AO845</f>
        <v>0</v>
      </c>
      <c r="I845" s="28">
        <f>F845*AP845</f>
        <v>0</v>
      </c>
      <c r="J845" s="28">
        <f>F845*G845</f>
        <v>0</v>
      </c>
      <c r="K845" s="29" t="s">
        <v>61</v>
      </c>
      <c r="Z845" s="28">
        <f>IF(AQ845="5",BJ845,0)</f>
        <v>0</v>
      </c>
      <c r="AB845" s="28">
        <f>IF(AQ845="1",BH845,0)</f>
        <v>0</v>
      </c>
      <c r="AC845" s="28">
        <f>IF(AQ845="1",BI845,0)</f>
        <v>0</v>
      </c>
      <c r="AD845" s="28">
        <f>IF(AQ845="7",BH845,0)</f>
        <v>0</v>
      </c>
      <c r="AE845" s="28">
        <f>IF(AQ845="7",BI845,0)</f>
        <v>0</v>
      </c>
      <c r="AF845" s="28">
        <f>IF(AQ845="2",BH845,0)</f>
        <v>0</v>
      </c>
      <c r="AG845" s="28">
        <f>IF(AQ845="2",BI845,0)</f>
        <v>0</v>
      </c>
      <c r="AH845" s="28">
        <f>IF(AQ845="0",BJ845,0)</f>
        <v>0</v>
      </c>
      <c r="AI845" s="10" t="s">
        <v>1466</v>
      </c>
      <c r="AJ845" s="28">
        <f>IF(AN845=0,J845,0)</f>
        <v>0</v>
      </c>
      <c r="AK845" s="28">
        <f>IF(AN845=12,J845,0)</f>
        <v>0</v>
      </c>
      <c r="AL845" s="28">
        <f>IF(AN845=21,J845,0)</f>
        <v>0</v>
      </c>
      <c r="AN845" s="28">
        <v>21</v>
      </c>
      <c r="AO845" s="28">
        <f>G845*0.840517241</f>
        <v>0</v>
      </c>
      <c r="AP845" s="28">
        <f>G845*(1-0.840517241)</f>
        <v>0</v>
      </c>
      <c r="AQ845" s="30" t="s">
        <v>57</v>
      </c>
      <c r="AV845" s="28">
        <f>AW845+AX845</f>
        <v>0</v>
      </c>
      <c r="AW845" s="28">
        <f>F845*AO845</f>
        <v>0</v>
      </c>
      <c r="AX845" s="28">
        <f>F845*AP845</f>
        <v>0</v>
      </c>
      <c r="AY845" s="30" t="s">
        <v>702</v>
      </c>
      <c r="AZ845" s="30" t="s">
        <v>1501</v>
      </c>
      <c r="BA845" s="10" t="s">
        <v>1469</v>
      </c>
      <c r="BC845" s="28">
        <f>AW845+AX845</f>
        <v>0</v>
      </c>
      <c r="BD845" s="28">
        <f>G845/(100-BE845)*100</f>
        <v>0</v>
      </c>
      <c r="BE845" s="28">
        <v>0</v>
      </c>
      <c r="BF845" s="28">
        <f>845</f>
        <v>845</v>
      </c>
      <c r="BH845" s="28">
        <f>F845*AO845</f>
        <v>0</v>
      </c>
      <c r="BI845" s="28">
        <f>F845*AP845</f>
        <v>0</v>
      </c>
      <c r="BJ845" s="28">
        <f>F845*G845</f>
        <v>0</v>
      </c>
      <c r="BK845" s="28"/>
      <c r="BL845" s="28">
        <v>56</v>
      </c>
      <c r="BW845" s="28">
        <v>21</v>
      </c>
    </row>
    <row r="846" spans="1:75" x14ac:dyDescent="0.25">
      <c r="A846" s="31"/>
      <c r="C846" s="32" t="s">
        <v>1505</v>
      </c>
      <c r="D846" s="32" t="s">
        <v>1481</v>
      </c>
      <c r="F846" s="33">
        <v>50.17</v>
      </c>
      <c r="K846" s="34"/>
    </row>
    <row r="847" spans="1:75" x14ac:dyDescent="0.25">
      <c r="A847" s="31"/>
      <c r="C847" s="32" t="s">
        <v>1506</v>
      </c>
      <c r="D847" s="32" t="s">
        <v>1487</v>
      </c>
      <c r="F847" s="33">
        <v>21.72</v>
      </c>
      <c r="K847" s="34"/>
    </row>
    <row r="848" spans="1:75" ht="13.5" customHeight="1" x14ac:dyDescent="0.25">
      <c r="A848" s="2" t="s">
        <v>1507</v>
      </c>
      <c r="B848" s="3" t="s">
        <v>1508</v>
      </c>
      <c r="C848" s="83" t="s">
        <v>1509</v>
      </c>
      <c r="D848" s="80"/>
      <c r="E848" s="3" t="s">
        <v>148</v>
      </c>
      <c r="F848" s="28">
        <v>82.49</v>
      </c>
      <c r="G848" s="28">
        <v>0</v>
      </c>
      <c r="H848" s="28">
        <f>F848*AO848</f>
        <v>0</v>
      </c>
      <c r="I848" s="28">
        <f>F848*AP848</f>
        <v>0</v>
      </c>
      <c r="J848" s="28">
        <f>F848*G848</f>
        <v>0</v>
      </c>
      <c r="K848" s="29" t="s">
        <v>61</v>
      </c>
      <c r="Z848" s="28">
        <f>IF(AQ848="5",BJ848,0)</f>
        <v>0</v>
      </c>
      <c r="AB848" s="28">
        <f>IF(AQ848="1",BH848,0)</f>
        <v>0</v>
      </c>
      <c r="AC848" s="28">
        <f>IF(AQ848="1",BI848,0)</f>
        <v>0</v>
      </c>
      <c r="AD848" s="28">
        <f>IF(AQ848="7",BH848,0)</f>
        <v>0</v>
      </c>
      <c r="AE848" s="28">
        <f>IF(AQ848="7",BI848,0)</f>
        <v>0</v>
      </c>
      <c r="AF848" s="28">
        <f>IF(AQ848="2",BH848,0)</f>
        <v>0</v>
      </c>
      <c r="AG848" s="28">
        <f>IF(AQ848="2",BI848,0)</f>
        <v>0</v>
      </c>
      <c r="AH848" s="28">
        <f>IF(AQ848="0",BJ848,0)</f>
        <v>0</v>
      </c>
      <c r="AI848" s="10" t="s">
        <v>1466</v>
      </c>
      <c r="AJ848" s="28">
        <f>IF(AN848=0,J848,0)</f>
        <v>0</v>
      </c>
      <c r="AK848" s="28">
        <f>IF(AN848=12,J848,0)</f>
        <v>0</v>
      </c>
      <c r="AL848" s="28">
        <f>IF(AN848=21,J848,0)</f>
        <v>0</v>
      </c>
      <c r="AN848" s="28">
        <v>21</v>
      </c>
      <c r="AO848" s="28">
        <f>G848*0.782448866</f>
        <v>0</v>
      </c>
      <c r="AP848" s="28">
        <f>G848*(1-0.782448866)</f>
        <v>0</v>
      </c>
      <c r="AQ848" s="30" t="s">
        <v>57</v>
      </c>
      <c r="AV848" s="28">
        <f>AW848+AX848</f>
        <v>0</v>
      </c>
      <c r="AW848" s="28">
        <f>F848*AO848</f>
        <v>0</v>
      </c>
      <c r="AX848" s="28">
        <f>F848*AP848</f>
        <v>0</v>
      </c>
      <c r="AY848" s="30" t="s">
        <v>702</v>
      </c>
      <c r="AZ848" s="30" t="s">
        <v>1501</v>
      </c>
      <c r="BA848" s="10" t="s">
        <v>1469</v>
      </c>
      <c r="BC848" s="28">
        <f>AW848+AX848</f>
        <v>0</v>
      </c>
      <c r="BD848" s="28">
        <f>G848/(100-BE848)*100</f>
        <v>0</v>
      </c>
      <c r="BE848" s="28">
        <v>0</v>
      </c>
      <c r="BF848" s="28">
        <f>848</f>
        <v>848</v>
      </c>
      <c r="BH848" s="28">
        <f>F848*AO848</f>
        <v>0</v>
      </c>
      <c r="BI848" s="28">
        <f>F848*AP848</f>
        <v>0</v>
      </c>
      <c r="BJ848" s="28">
        <f>F848*G848</f>
        <v>0</v>
      </c>
      <c r="BK848" s="28"/>
      <c r="BL848" s="28">
        <v>56</v>
      </c>
      <c r="BW848" s="28">
        <v>21</v>
      </c>
    </row>
    <row r="849" spans="1:75" x14ac:dyDescent="0.25">
      <c r="A849" s="31"/>
      <c r="C849" s="32" t="s">
        <v>1480</v>
      </c>
      <c r="D849" s="32" t="s">
        <v>1481</v>
      </c>
      <c r="F849" s="33">
        <v>52.02</v>
      </c>
      <c r="K849" s="34"/>
    </row>
    <row r="850" spans="1:75" x14ac:dyDescent="0.25">
      <c r="A850" s="31"/>
      <c r="C850" s="32" t="s">
        <v>1486</v>
      </c>
      <c r="D850" s="32" t="s">
        <v>1487</v>
      </c>
      <c r="F850" s="33">
        <v>30.47</v>
      </c>
      <c r="K850" s="34"/>
    </row>
    <row r="851" spans="1:75" ht="13.5" customHeight="1" x14ac:dyDescent="0.25">
      <c r="A851" s="2" t="s">
        <v>1510</v>
      </c>
      <c r="B851" s="3" t="s">
        <v>700</v>
      </c>
      <c r="C851" s="83" t="s">
        <v>701</v>
      </c>
      <c r="D851" s="80"/>
      <c r="E851" s="3" t="s">
        <v>148</v>
      </c>
      <c r="F851" s="28">
        <v>82.49</v>
      </c>
      <c r="G851" s="28">
        <v>0</v>
      </c>
      <c r="H851" s="28">
        <f>F851*AO851</f>
        <v>0</v>
      </c>
      <c r="I851" s="28">
        <f>F851*AP851</f>
        <v>0</v>
      </c>
      <c r="J851" s="28">
        <f>F851*G851</f>
        <v>0</v>
      </c>
      <c r="K851" s="29" t="s">
        <v>61</v>
      </c>
      <c r="Z851" s="28">
        <f>IF(AQ851="5",BJ851,0)</f>
        <v>0</v>
      </c>
      <c r="AB851" s="28">
        <f>IF(AQ851="1",BH851,0)</f>
        <v>0</v>
      </c>
      <c r="AC851" s="28">
        <f>IF(AQ851="1",BI851,0)</f>
        <v>0</v>
      </c>
      <c r="AD851" s="28">
        <f>IF(AQ851="7",BH851,0)</f>
        <v>0</v>
      </c>
      <c r="AE851" s="28">
        <f>IF(AQ851="7",BI851,0)</f>
        <v>0</v>
      </c>
      <c r="AF851" s="28">
        <f>IF(AQ851="2",BH851,0)</f>
        <v>0</v>
      </c>
      <c r="AG851" s="28">
        <f>IF(AQ851="2",BI851,0)</f>
        <v>0</v>
      </c>
      <c r="AH851" s="28">
        <f>IF(AQ851="0",BJ851,0)</f>
        <v>0</v>
      </c>
      <c r="AI851" s="10" t="s">
        <v>1466</v>
      </c>
      <c r="AJ851" s="28">
        <f>IF(AN851=0,J851,0)</f>
        <v>0</v>
      </c>
      <c r="AK851" s="28">
        <f>IF(AN851=12,J851,0)</f>
        <v>0</v>
      </c>
      <c r="AL851" s="28">
        <f>IF(AN851=21,J851,0)</f>
        <v>0</v>
      </c>
      <c r="AN851" s="28">
        <v>21</v>
      </c>
      <c r="AO851" s="28">
        <f>G851*0</f>
        <v>0</v>
      </c>
      <c r="AP851" s="28">
        <f>G851*(1-0)</f>
        <v>0</v>
      </c>
      <c r="AQ851" s="30" t="s">
        <v>57</v>
      </c>
      <c r="AV851" s="28">
        <f>AW851+AX851</f>
        <v>0</v>
      </c>
      <c r="AW851" s="28">
        <f>F851*AO851</f>
        <v>0</v>
      </c>
      <c r="AX851" s="28">
        <f>F851*AP851</f>
        <v>0</v>
      </c>
      <c r="AY851" s="30" t="s">
        <v>702</v>
      </c>
      <c r="AZ851" s="30" t="s">
        <v>1501</v>
      </c>
      <c r="BA851" s="10" t="s">
        <v>1469</v>
      </c>
      <c r="BC851" s="28">
        <f>AW851+AX851</f>
        <v>0</v>
      </c>
      <c r="BD851" s="28">
        <f>G851/(100-BE851)*100</f>
        <v>0</v>
      </c>
      <c r="BE851" s="28">
        <v>0</v>
      </c>
      <c r="BF851" s="28">
        <f>851</f>
        <v>851</v>
      </c>
      <c r="BH851" s="28">
        <f>F851*AO851</f>
        <v>0</v>
      </c>
      <c r="BI851" s="28">
        <f>F851*AP851</f>
        <v>0</v>
      </c>
      <c r="BJ851" s="28">
        <f>F851*G851</f>
        <v>0</v>
      </c>
      <c r="BK851" s="28"/>
      <c r="BL851" s="28">
        <v>56</v>
      </c>
      <c r="BW851" s="28">
        <v>21</v>
      </c>
    </row>
    <row r="852" spans="1:75" x14ac:dyDescent="0.25">
      <c r="A852" s="31"/>
      <c r="C852" s="32" t="s">
        <v>1480</v>
      </c>
      <c r="D852" s="32" t="s">
        <v>1481</v>
      </c>
      <c r="F852" s="33">
        <v>52.02</v>
      </c>
      <c r="K852" s="34"/>
    </row>
    <row r="853" spans="1:75" x14ac:dyDescent="0.25">
      <c r="A853" s="31"/>
      <c r="C853" s="32" t="s">
        <v>1486</v>
      </c>
      <c r="D853" s="32" t="s">
        <v>1487</v>
      </c>
      <c r="F853" s="33">
        <v>30.47</v>
      </c>
      <c r="K853" s="34"/>
    </row>
    <row r="854" spans="1:75" ht="13.5" customHeight="1" x14ac:dyDescent="0.25">
      <c r="A854" s="2" t="s">
        <v>1511</v>
      </c>
      <c r="B854" s="3" t="s">
        <v>705</v>
      </c>
      <c r="C854" s="83" t="s">
        <v>706</v>
      </c>
      <c r="D854" s="80"/>
      <c r="E854" s="3" t="s">
        <v>148</v>
      </c>
      <c r="F854" s="28">
        <v>86.614500000000007</v>
      </c>
      <c r="G854" s="28">
        <v>0</v>
      </c>
      <c r="H854" s="28">
        <f>F854*AO854</f>
        <v>0</v>
      </c>
      <c r="I854" s="28">
        <f>F854*AP854</f>
        <v>0</v>
      </c>
      <c r="J854" s="28">
        <f>F854*G854</f>
        <v>0</v>
      </c>
      <c r="K854" s="29" t="s">
        <v>61</v>
      </c>
      <c r="Z854" s="28">
        <f>IF(AQ854="5",BJ854,0)</f>
        <v>0</v>
      </c>
      <c r="AB854" s="28">
        <f>IF(AQ854="1",BH854,0)</f>
        <v>0</v>
      </c>
      <c r="AC854" s="28">
        <f>IF(AQ854="1",BI854,0)</f>
        <v>0</v>
      </c>
      <c r="AD854" s="28">
        <f>IF(AQ854="7",BH854,0)</f>
        <v>0</v>
      </c>
      <c r="AE854" s="28">
        <f>IF(AQ854="7",BI854,0)</f>
        <v>0</v>
      </c>
      <c r="AF854" s="28">
        <f>IF(AQ854="2",BH854,0)</f>
        <v>0</v>
      </c>
      <c r="AG854" s="28">
        <f>IF(AQ854="2",BI854,0)</f>
        <v>0</v>
      </c>
      <c r="AH854" s="28">
        <f>IF(AQ854="0",BJ854,0)</f>
        <v>0</v>
      </c>
      <c r="AI854" s="10" t="s">
        <v>1466</v>
      </c>
      <c r="AJ854" s="28">
        <f>IF(AN854=0,J854,0)</f>
        <v>0</v>
      </c>
      <c r="AK854" s="28">
        <f>IF(AN854=12,J854,0)</f>
        <v>0</v>
      </c>
      <c r="AL854" s="28">
        <f>IF(AN854=21,J854,0)</f>
        <v>0</v>
      </c>
      <c r="AN854" s="28">
        <v>21</v>
      </c>
      <c r="AO854" s="28">
        <f>G854*1</f>
        <v>0</v>
      </c>
      <c r="AP854" s="28">
        <f>G854*(1-1)</f>
        <v>0</v>
      </c>
      <c r="AQ854" s="30" t="s">
        <v>57</v>
      </c>
      <c r="AV854" s="28">
        <f>AW854+AX854</f>
        <v>0</v>
      </c>
      <c r="AW854" s="28">
        <f>F854*AO854</f>
        <v>0</v>
      </c>
      <c r="AX854" s="28">
        <f>F854*AP854</f>
        <v>0</v>
      </c>
      <c r="AY854" s="30" t="s">
        <v>702</v>
      </c>
      <c r="AZ854" s="30" t="s">
        <v>1501</v>
      </c>
      <c r="BA854" s="10" t="s">
        <v>1469</v>
      </c>
      <c r="BC854" s="28">
        <f>AW854+AX854</f>
        <v>0</v>
      </c>
      <c r="BD854" s="28">
        <f>G854/(100-BE854)*100</f>
        <v>0</v>
      </c>
      <c r="BE854" s="28">
        <v>0</v>
      </c>
      <c r="BF854" s="28">
        <f>854</f>
        <v>854</v>
      </c>
      <c r="BH854" s="28">
        <f>F854*AO854</f>
        <v>0</v>
      </c>
      <c r="BI854" s="28">
        <f>F854*AP854</f>
        <v>0</v>
      </c>
      <c r="BJ854" s="28">
        <f>F854*G854</f>
        <v>0</v>
      </c>
      <c r="BK854" s="28"/>
      <c r="BL854" s="28">
        <v>56</v>
      </c>
      <c r="BW854" s="28">
        <v>21</v>
      </c>
    </row>
    <row r="855" spans="1:75" x14ac:dyDescent="0.25">
      <c r="A855" s="31"/>
      <c r="C855" s="32" t="s">
        <v>1492</v>
      </c>
      <c r="D855" s="32" t="s">
        <v>52</v>
      </c>
      <c r="F855" s="33">
        <v>82.49</v>
      </c>
      <c r="K855" s="34"/>
    </row>
    <row r="856" spans="1:75" x14ac:dyDescent="0.25">
      <c r="A856" s="31"/>
      <c r="C856" s="32" t="s">
        <v>1512</v>
      </c>
      <c r="D856" s="32" t="s">
        <v>52</v>
      </c>
      <c r="F856" s="33">
        <v>4.1245000000000003</v>
      </c>
      <c r="K856" s="34"/>
    </row>
    <row r="857" spans="1:75" x14ac:dyDescent="0.25">
      <c r="A857" s="24" t="s">
        <v>52</v>
      </c>
      <c r="B857" s="25" t="s">
        <v>434</v>
      </c>
      <c r="C857" s="139" t="s">
        <v>1513</v>
      </c>
      <c r="D857" s="140"/>
      <c r="E857" s="26" t="s">
        <v>4</v>
      </c>
      <c r="F857" s="26" t="s">
        <v>4</v>
      </c>
      <c r="G857" s="26" t="s">
        <v>4</v>
      </c>
      <c r="H857" s="1">
        <f>SUM(H858:H862)</f>
        <v>0</v>
      </c>
      <c r="I857" s="1">
        <f>SUM(I858:I862)</f>
        <v>0</v>
      </c>
      <c r="J857" s="1">
        <f>SUM(J858:J862)</f>
        <v>0</v>
      </c>
      <c r="K857" s="27" t="s">
        <v>52</v>
      </c>
      <c r="AI857" s="10" t="s">
        <v>1466</v>
      </c>
      <c r="AS857" s="1">
        <f>SUM(AJ858:AJ862)</f>
        <v>0</v>
      </c>
      <c r="AT857" s="1">
        <f>SUM(AK858:AK862)</f>
        <v>0</v>
      </c>
      <c r="AU857" s="1">
        <f>SUM(AL858:AL862)</f>
        <v>0</v>
      </c>
    </row>
    <row r="858" spans="1:75" ht="13.5" customHeight="1" x14ac:dyDescent="0.25">
      <c r="A858" s="2" t="s">
        <v>1514</v>
      </c>
      <c r="B858" s="3" t="s">
        <v>1515</v>
      </c>
      <c r="C858" s="83" t="s">
        <v>1516</v>
      </c>
      <c r="D858" s="80"/>
      <c r="E858" s="3" t="s">
        <v>148</v>
      </c>
      <c r="F858" s="28">
        <v>71.89</v>
      </c>
      <c r="G858" s="28">
        <v>0</v>
      </c>
      <c r="H858" s="28">
        <f>F858*AO858</f>
        <v>0</v>
      </c>
      <c r="I858" s="28">
        <f>F858*AP858</f>
        <v>0</v>
      </c>
      <c r="J858" s="28">
        <f>F858*G858</f>
        <v>0</v>
      </c>
      <c r="K858" s="29" t="s">
        <v>61</v>
      </c>
      <c r="Z858" s="28">
        <f>IF(AQ858="5",BJ858,0)</f>
        <v>0</v>
      </c>
      <c r="AB858" s="28">
        <f>IF(AQ858="1",BH858,0)</f>
        <v>0</v>
      </c>
      <c r="AC858" s="28">
        <f>IF(AQ858="1",BI858,0)</f>
        <v>0</v>
      </c>
      <c r="AD858" s="28">
        <f>IF(AQ858="7",BH858,0)</f>
        <v>0</v>
      </c>
      <c r="AE858" s="28">
        <f>IF(AQ858="7",BI858,0)</f>
        <v>0</v>
      </c>
      <c r="AF858" s="28">
        <f>IF(AQ858="2",BH858,0)</f>
        <v>0</v>
      </c>
      <c r="AG858" s="28">
        <f>IF(AQ858="2",BI858,0)</f>
        <v>0</v>
      </c>
      <c r="AH858" s="28">
        <f>IF(AQ858="0",BJ858,0)</f>
        <v>0</v>
      </c>
      <c r="AI858" s="10" t="s">
        <v>1466</v>
      </c>
      <c r="AJ858" s="28">
        <f>IF(AN858=0,J858,0)</f>
        <v>0</v>
      </c>
      <c r="AK858" s="28">
        <f>IF(AN858=12,J858,0)</f>
        <v>0</v>
      </c>
      <c r="AL858" s="28">
        <f>IF(AN858=21,J858,0)</f>
        <v>0</v>
      </c>
      <c r="AN858" s="28">
        <v>21</v>
      </c>
      <c r="AO858" s="28">
        <f>G858*0.828393639</f>
        <v>0</v>
      </c>
      <c r="AP858" s="28">
        <f>G858*(1-0.828393639)</f>
        <v>0</v>
      </c>
      <c r="AQ858" s="30" t="s">
        <v>57</v>
      </c>
      <c r="AV858" s="28">
        <f>AW858+AX858</f>
        <v>0</v>
      </c>
      <c r="AW858" s="28">
        <f>F858*AO858</f>
        <v>0</v>
      </c>
      <c r="AX858" s="28">
        <f>F858*AP858</f>
        <v>0</v>
      </c>
      <c r="AY858" s="30" t="s">
        <v>1517</v>
      </c>
      <c r="AZ858" s="30" t="s">
        <v>1501</v>
      </c>
      <c r="BA858" s="10" t="s">
        <v>1469</v>
      </c>
      <c r="BC858" s="28">
        <f>AW858+AX858</f>
        <v>0</v>
      </c>
      <c r="BD858" s="28">
        <f>G858/(100-BE858)*100</f>
        <v>0</v>
      </c>
      <c r="BE858" s="28">
        <v>0</v>
      </c>
      <c r="BF858" s="28">
        <f>858</f>
        <v>858</v>
      </c>
      <c r="BH858" s="28">
        <f>F858*AO858</f>
        <v>0</v>
      </c>
      <c r="BI858" s="28">
        <f>F858*AP858</f>
        <v>0</v>
      </c>
      <c r="BJ858" s="28">
        <f>F858*G858</f>
        <v>0</v>
      </c>
      <c r="BK858" s="28"/>
      <c r="BL858" s="28">
        <v>57</v>
      </c>
      <c r="BW858" s="28">
        <v>21</v>
      </c>
    </row>
    <row r="859" spans="1:75" x14ac:dyDescent="0.25">
      <c r="A859" s="31"/>
      <c r="C859" s="32" t="s">
        <v>1505</v>
      </c>
      <c r="D859" s="32" t="s">
        <v>1481</v>
      </c>
      <c r="F859" s="33">
        <v>50.17</v>
      </c>
      <c r="K859" s="34"/>
    </row>
    <row r="860" spans="1:75" x14ac:dyDescent="0.25">
      <c r="A860" s="31"/>
      <c r="C860" s="32" t="s">
        <v>1506</v>
      </c>
      <c r="D860" s="32" t="s">
        <v>1487</v>
      </c>
      <c r="F860" s="33">
        <v>21.72</v>
      </c>
      <c r="K860" s="34"/>
    </row>
    <row r="861" spans="1:75" ht="13.5" customHeight="1" x14ac:dyDescent="0.25">
      <c r="A861" s="2" t="s">
        <v>1518</v>
      </c>
      <c r="B861" s="3" t="s">
        <v>1519</v>
      </c>
      <c r="C861" s="83" t="s">
        <v>1520</v>
      </c>
      <c r="D861" s="80"/>
      <c r="E861" s="3" t="s">
        <v>148</v>
      </c>
      <c r="F861" s="28">
        <v>71.89</v>
      </c>
      <c r="G861" s="28">
        <v>0</v>
      </c>
      <c r="H861" s="28">
        <f>F861*AO861</f>
        <v>0</v>
      </c>
      <c r="I861" s="28">
        <f>F861*AP861</f>
        <v>0</v>
      </c>
      <c r="J861" s="28">
        <f>F861*G861</f>
        <v>0</v>
      </c>
      <c r="K861" s="29" t="s">
        <v>61</v>
      </c>
      <c r="Z861" s="28">
        <f>IF(AQ861="5",BJ861,0)</f>
        <v>0</v>
      </c>
      <c r="AB861" s="28">
        <f>IF(AQ861="1",BH861,0)</f>
        <v>0</v>
      </c>
      <c r="AC861" s="28">
        <f>IF(AQ861="1",BI861,0)</f>
        <v>0</v>
      </c>
      <c r="AD861" s="28">
        <f>IF(AQ861="7",BH861,0)</f>
        <v>0</v>
      </c>
      <c r="AE861" s="28">
        <f>IF(AQ861="7",BI861,0)</f>
        <v>0</v>
      </c>
      <c r="AF861" s="28">
        <f>IF(AQ861="2",BH861,0)</f>
        <v>0</v>
      </c>
      <c r="AG861" s="28">
        <f>IF(AQ861="2",BI861,0)</f>
        <v>0</v>
      </c>
      <c r="AH861" s="28">
        <f>IF(AQ861="0",BJ861,0)</f>
        <v>0</v>
      </c>
      <c r="AI861" s="10" t="s">
        <v>1466</v>
      </c>
      <c r="AJ861" s="28">
        <f>IF(AN861=0,J861,0)</f>
        <v>0</v>
      </c>
      <c r="AK861" s="28">
        <f>IF(AN861=12,J861,0)</f>
        <v>0</v>
      </c>
      <c r="AL861" s="28">
        <f>IF(AN861=21,J861,0)</f>
        <v>0</v>
      </c>
      <c r="AN861" s="28">
        <v>21</v>
      </c>
      <c r="AO861" s="28">
        <f>G861*0.86237505</f>
        <v>0</v>
      </c>
      <c r="AP861" s="28">
        <f>G861*(1-0.86237505)</f>
        <v>0</v>
      </c>
      <c r="AQ861" s="30" t="s">
        <v>57</v>
      </c>
      <c r="AV861" s="28">
        <f>AW861+AX861</f>
        <v>0</v>
      </c>
      <c r="AW861" s="28">
        <f>F861*AO861</f>
        <v>0</v>
      </c>
      <c r="AX861" s="28">
        <f>F861*AP861</f>
        <v>0</v>
      </c>
      <c r="AY861" s="30" t="s">
        <v>1517</v>
      </c>
      <c r="AZ861" s="30" t="s">
        <v>1501</v>
      </c>
      <c r="BA861" s="10" t="s">
        <v>1469</v>
      </c>
      <c r="BC861" s="28">
        <f>AW861+AX861</f>
        <v>0</v>
      </c>
      <c r="BD861" s="28">
        <f>G861/(100-BE861)*100</f>
        <v>0</v>
      </c>
      <c r="BE861" s="28">
        <v>0</v>
      </c>
      <c r="BF861" s="28">
        <f>861</f>
        <v>861</v>
      </c>
      <c r="BH861" s="28">
        <f>F861*AO861</f>
        <v>0</v>
      </c>
      <c r="BI861" s="28">
        <f>F861*AP861</f>
        <v>0</v>
      </c>
      <c r="BJ861" s="28">
        <f>F861*G861</f>
        <v>0</v>
      </c>
      <c r="BK861" s="28"/>
      <c r="BL861" s="28">
        <v>57</v>
      </c>
      <c r="BW861" s="28">
        <v>21</v>
      </c>
    </row>
    <row r="862" spans="1:75" ht="13.5" customHeight="1" x14ac:dyDescent="0.25">
      <c r="A862" s="2" t="s">
        <v>1521</v>
      </c>
      <c r="B862" s="3" t="s">
        <v>1522</v>
      </c>
      <c r="C862" s="83" t="s">
        <v>1523</v>
      </c>
      <c r="D862" s="80"/>
      <c r="E862" s="3" t="s">
        <v>148</v>
      </c>
      <c r="F862" s="28">
        <v>71.89</v>
      </c>
      <c r="G862" s="28">
        <v>0</v>
      </c>
      <c r="H862" s="28">
        <f>F862*AO862</f>
        <v>0</v>
      </c>
      <c r="I862" s="28">
        <f>F862*AP862</f>
        <v>0</v>
      </c>
      <c r="J862" s="28">
        <f>F862*G862</f>
        <v>0</v>
      </c>
      <c r="K862" s="29" t="s">
        <v>61</v>
      </c>
      <c r="Z862" s="28">
        <f>IF(AQ862="5",BJ862,0)</f>
        <v>0</v>
      </c>
      <c r="AB862" s="28">
        <f>IF(AQ862="1",BH862,0)</f>
        <v>0</v>
      </c>
      <c r="AC862" s="28">
        <f>IF(AQ862="1",BI862,0)</f>
        <v>0</v>
      </c>
      <c r="AD862" s="28">
        <f>IF(AQ862="7",BH862,0)</f>
        <v>0</v>
      </c>
      <c r="AE862" s="28">
        <f>IF(AQ862="7",BI862,0)</f>
        <v>0</v>
      </c>
      <c r="AF862" s="28">
        <f>IF(AQ862="2",BH862,0)</f>
        <v>0</v>
      </c>
      <c r="AG862" s="28">
        <f>IF(AQ862="2",BI862,0)</f>
        <v>0</v>
      </c>
      <c r="AH862" s="28">
        <f>IF(AQ862="0",BJ862,0)</f>
        <v>0</v>
      </c>
      <c r="AI862" s="10" t="s">
        <v>1466</v>
      </c>
      <c r="AJ862" s="28">
        <f>IF(AN862=0,J862,0)</f>
        <v>0</v>
      </c>
      <c r="AK862" s="28">
        <f>IF(AN862=12,J862,0)</f>
        <v>0</v>
      </c>
      <c r="AL862" s="28">
        <f>IF(AN862=21,J862,0)</f>
        <v>0</v>
      </c>
      <c r="AN862" s="28">
        <v>21</v>
      </c>
      <c r="AO862" s="28">
        <f>G862*0.804135356</f>
        <v>0</v>
      </c>
      <c r="AP862" s="28">
        <f>G862*(1-0.804135356)</f>
        <v>0</v>
      </c>
      <c r="AQ862" s="30" t="s">
        <v>57</v>
      </c>
      <c r="AV862" s="28">
        <f>AW862+AX862</f>
        <v>0</v>
      </c>
      <c r="AW862" s="28">
        <f>F862*AO862</f>
        <v>0</v>
      </c>
      <c r="AX862" s="28">
        <f>F862*AP862</f>
        <v>0</v>
      </c>
      <c r="AY862" s="30" t="s">
        <v>1517</v>
      </c>
      <c r="AZ862" s="30" t="s">
        <v>1501</v>
      </c>
      <c r="BA862" s="10" t="s">
        <v>1469</v>
      </c>
      <c r="BC862" s="28">
        <f>AW862+AX862</f>
        <v>0</v>
      </c>
      <c r="BD862" s="28">
        <f>G862/(100-BE862)*100</f>
        <v>0</v>
      </c>
      <c r="BE862" s="28">
        <v>0</v>
      </c>
      <c r="BF862" s="28">
        <f>862</f>
        <v>862</v>
      </c>
      <c r="BH862" s="28">
        <f>F862*AO862</f>
        <v>0</v>
      </c>
      <c r="BI862" s="28">
        <f>F862*AP862</f>
        <v>0</v>
      </c>
      <c r="BJ862" s="28">
        <f>F862*G862</f>
        <v>0</v>
      </c>
      <c r="BK862" s="28"/>
      <c r="BL862" s="28">
        <v>57</v>
      </c>
      <c r="BW862" s="28">
        <v>21</v>
      </c>
    </row>
    <row r="863" spans="1:75" x14ac:dyDescent="0.25">
      <c r="A863" s="31"/>
      <c r="C863" s="32" t="s">
        <v>1505</v>
      </c>
      <c r="D863" s="32" t="s">
        <v>1481</v>
      </c>
      <c r="F863" s="33">
        <v>50.17</v>
      </c>
      <c r="K863" s="34"/>
    </row>
    <row r="864" spans="1:75" x14ac:dyDescent="0.25">
      <c r="A864" s="31"/>
      <c r="C864" s="32" t="s">
        <v>1506</v>
      </c>
      <c r="D864" s="32" t="s">
        <v>1487</v>
      </c>
      <c r="F864" s="33">
        <v>21.72</v>
      </c>
      <c r="K864" s="34"/>
    </row>
    <row r="865" spans="1:75" x14ac:dyDescent="0.25">
      <c r="A865" s="24" t="s">
        <v>52</v>
      </c>
      <c r="B865" s="25" t="s">
        <v>670</v>
      </c>
      <c r="C865" s="139" t="s">
        <v>1524</v>
      </c>
      <c r="D865" s="140"/>
      <c r="E865" s="26" t="s">
        <v>4</v>
      </c>
      <c r="F865" s="26" t="s">
        <v>4</v>
      </c>
      <c r="G865" s="26" t="s">
        <v>4</v>
      </c>
      <c r="H865" s="1">
        <f>SUM(H866:H870)</f>
        <v>0</v>
      </c>
      <c r="I865" s="1">
        <f>SUM(I866:I870)</f>
        <v>0</v>
      </c>
      <c r="J865" s="1">
        <f>SUM(J866:J870)</f>
        <v>0</v>
      </c>
      <c r="K865" s="27" t="s">
        <v>52</v>
      </c>
      <c r="AI865" s="10" t="s">
        <v>1466</v>
      </c>
      <c r="AS865" s="1">
        <f>SUM(AJ866:AJ870)</f>
        <v>0</v>
      </c>
      <c r="AT865" s="1">
        <f>SUM(AK866:AK870)</f>
        <v>0</v>
      </c>
      <c r="AU865" s="1">
        <f>SUM(AL866:AL870)</f>
        <v>0</v>
      </c>
    </row>
    <row r="866" spans="1:75" ht="13.5" customHeight="1" x14ac:dyDescent="0.25">
      <c r="A866" s="2" t="s">
        <v>1525</v>
      </c>
      <c r="B866" s="3" t="s">
        <v>1526</v>
      </c>
      <c r="C866" s="83" t="s">
        <v>1527</v>
      </c>
      <c r="D866" s="80"/>
      <c r="E866" s="3" t="s">
        <v>78</v>
      </c>
      <c r="F866" s="28">
        <v>22</v>
      </c>
      <c r="G866" s="28">
        <v>0</v>
      </c>
      <c r="H866" s="28">
        <f>F866*AO866</f>
        <v>0</v>
      </c>
      <c r="I866" s="28">
        <f>F866*AP866</f>
        <v>0</v>
      </c>
      <c r="J866" s="28">
        <f>F866*G866</f>
        <v>0</v>
      </c>
      <c r="K866" s="29" t="s">
        <v>61</v>
      </c>
      <c r="Z866" s="28">
        <f>IF(AQ866="5",BJ866,0)</f>
        <v>0</v>
      </c>
      <c r="AB866" s="28">
        <f>IF(AQ866="1",BH866,0)</f>
        <v>0</v>
      </c>
      <c r="AC866" s="28">
        <f>IF(AQ866="1",BI866,0)</f>
        <v>0</v>
      </c>
      <c r="AD866" s="28">
        <f>IF(AQ866="7",BH866,0)</f>
        <v>0</v>
      </c>
      <c r="AE866" s="28">
        <f>IF(AQ866="7",BI866,0)</f>
        <v>0</v>
      </c>
      <c r="AF866" s="28">
        <f>IF(AQ866="2",BH866,0)</f>
        <v>0</v>
      </c>
      <c r="AG866" s="28">
        <f>IF(AQ866="2",BI866,0)</f>
        <v>0</v>
      </c>
      <c r="AH866" s="28">
        <f>IF(AQ866="0",BJ866,0)</f>
        <v>0</v>
      </c>
      <c r="AI866" s="10" t="s">
        <v>1466</v>
      </c>
      <c r="AJ866" s="28">
        <f>IF(AN866=0,J866,0)</f>
        <v>0</v>
      </c>
      <c r="AK866" s="28">
        <f>IF(AN866=12,J866,0)</f>
        <v>0</v>
      </c>
      <c r="AL866" s="28">
        <f>IF(AN866=21,J866,0)</f>
        <v>0</v>
      </c>
      <c r="AN866" s="28">
        <v>21</v>
      </c>
      <c r="AO866" s="28">
        <f>G866*0.579044118</f>
        <v>0</v>
      </c>
      <c r="AP866" s="28">
        <f>G866*(1-0.579044118)</f>
        <v>0</v>
      </c>
      <c r="AQ866" s="30" t="s">
        <v>57</v>
      </c>
      <c r="AV866" s="28">
        <f>AW866+AX866</f>
        <v>0</v>
      </c>
      <c r="AW866" s="28">
        <f>F866*AO866</f>
        <v>0</v>
      </c>
      <c r="AX866" s="28">
        <f>F866*AP866</f>
        <v>0</v>
      </c>
      <c r="AY866" s="30" t="s">
        <v>1528</v>
      </c>
      <c r="AZ866" s="30" t="s">
        <v>1468</v>
      </c>
      <c r="BA866" s="10" t="s">
        <v>1469</v>
      </c>
      <c r="BC866" s="28">
        <f>AW866+AX866</f>
        <v>0</v>
      </c>
      <c r="BD866" s="28">
        <f>G866/(100-BE866)*100</f>
        <v>0</v>
      </c>
      <c r="BE866" s="28">
        <v>0</v>
      </c>
      <c r="BF866" s="28">
        <f>866</f>
        <v>866</v>
      </c>
      <c r="BH866" s="28">
        <f>F866*AO866</f>
        <v>0</v>
      </c>
      <c r="BI866" s="28">
        <f>F866*AP866</f>
        <v>0</v>
      </c>
      <c r="BJ866" s="28">
        <f>F866*G866</f>
        <v>0</v>
      </c>
      <c r="BK866" s="28"/>
      <c r="BL866" s="28">
        <v>91</v>
      </c>
      <c r="BW866" s="28">
        <v>21</v>
      </c>
    </row>
    <row r="867" spans="1:75" x14ac:dyDescent="0.25">
      <c r="A867" s="31"/>
      <c r="C867" s="32" t="s">
        <v>1529</v>
      </c>
      <c r="D867" s="32" t="s">
        <v>1481</v>
      </c>
      <c r="F867" s="33">
        <v>22</v>
      </c>
      <c r="K867" s="34"/>
    </row>
    <row r="868" spans="1:75" ht="13.5" customHeight="1" x14ac:dyDescent="0.25">
      <c r="A868" s="2" t="s">
        <v>1530</v>
      </c>
      <c r="B868" s="3" t="s">
        <v>1531</v>
      </c>
      <c r="C868" s="83" t="s">
        <v>1532</v>
      </c>
      <c r="D868" s="80"/>
      <c r="E868" s="3" t="s">
        <v>78</v>
      </c>
      <c r="F868" s="28">
        <v>23</v>
      </c>
      <c r="G868" s="28">
        <v>0</v>
      </c>
      <c r="H868" s="28">
        <f>F868*AO868</f>
        <v>0</v>
      </c>
      <c r="I868" s="28">
        <f>F868*AP868</f>
        <v>0</v>
      </c>
      <c r="J868" s="28">
        <f>F868*G868</f>
        <v>0</v>
      </c>
      <c r="K868" s="29" t="s">
        <v>61</v>
      </c>
      <c r="Z868" s="28">
        <f>IF(AQ868="5",BJ868,0)</f>
        <v>0</v>
      </c>
      <c r="AB868" s="28">
        <f>IF(AQ868="1",BH868,0)</f>
        <v>0</v>
      </c>
      <c r="AC868" s="28">
        <f>IF(AQ868="1",BI868,0)</f>
        <v>0</v>
      </c>
      <c r="AD868" s="28">
        <f>IF(AQ868="7",BH868,0)</f>
        <v>0</v>
      </c>
      <c r="AE868" s="28">
        <f>IF(AQ868="7",BI868,0)</f>
        <v>0</v>
      </c>
      <c r="AF868" s="28">
        <f>IF(AQ868="2",BH868,0)</f>
        <v>0</v>
      </c>
      <c r="AG868" s="28">
        <f>IF(AQ868="2",BI868,0)</f>
        <v>0</v>
      </c>
      <c r="AH868" s="28">
        <f>IF(AQ868="0",BJ868,0)</f>
        <v>0</v>
      </c>
      <c r="AI868" s="10" t="s">
        <v>1466</v>
      </c>
      <c r="AJ868" s="28">
        <f>IF(AN868=0,J868,0)</f>
        <v>0</v>
      </c>
      <c r="AK868" s="28">
        <f>IF(AN868=12,J868,0)</f>
        <v>0</v>
      </c>
      <c r="AL868" s="28">
        <f>IF(AN868=21,J868,0)</f>
        <v>0</v>
      </c>
      <c r="AN868" s="28">
        <v>21</v>
      </c>
      <c r="AO868" s="28">
        <f>G868*0.787570208</f>
        <v>0</v>
      </c>
      <c r="AP868" s="28">
        <f>G868*(1-0.787570208)</f>
        <v>0</v>
      </c>
      <c r="AQ868" s="30" t="s">
        <v>57</v>
      </c>
      <c r="AV868" s="28">
        <f>AW868+AX868</f>
        <v>0</v>
      </c>
      <c r="AW868" s="28">
        <f>F868*AO868</f>
        <v>0</v>
      </c>
      <c r="AX868" s="28">
        <f>F868*AP868</f>
        <v>0</v>
      </c>
      <c r="AY868" s="30" t="s">
        <v>1528</v>
      </c>
      <c r="AZ868" s="30" t="s">
        <v>1468</v>
      </c>
      <c r="BA868" s="10" t="s">
        <v>1469</v>
      </c>
      <c r="BC868" s="28">
        <f>AW868+AX868</f>
        <v>0</v>
      </c>
      <c r="BD868" s="28">
        <f>G868/(100-BE868)*100</f>
        <v>0</v>
      </c>
      <c r="BE868" s="28">
        <v>0</v>
      </c>
      <c r="BF868" s="28">
        <f>868</f>
        <v>868</v>
      </c>
      <c r="BH868" s="28">
        <f>F868*AO868</f>
        <v>0</v>
      </c>
      <c r="BI868" s="28">
        <f>F868*AP868</f>
        <v>0</v>
      </c>
      <c r="BJ868" s="28">
        <f>F868*G868</f>
        <v>0</v>
      </c>
      <c r="BK868" s="28"/>
      <c r="BL868" s="28">
        <v>91</v>
      </c>
      <c r="BW868" s="28">
        <v>21</v>
      </c>
    </row>
    <row r="869" spans="1:75" x14ac:dyDescent="0.25">
      <c r="A869" s="31"/>
      <c r="C869" s="32" t="s">
        <v>184</v>
      </c>
      <c r="D869" s="32" t="s">
        <v>52</v>
      </c>
      <c r="F869" s="33">
        <v>23</v>
      </c>
      <c r="K869" s="34"/>
    </row>
    <row r="870" spans="1:75" ht="13.5" customHeight="1" x14ac:dyDescent="0.25">
      <c r="A870" s="2" t="s">
        <v>1533</v>
      </c>
      <c r="B870" s="3" t="s">
        <v>1534</v>
      </c>
      <c r="C870" s="83" t="s">
        <v>1535</v>
      </c>
      <c r="D870" s="80"/>
      <c r="E870" s="3" t="s">
        <v>78</v>
      </c>
      <c r="F870" s="28">
        <v>41</v>
      </c>
      <c r="G870" s="28">
        <v>0</v>
      </c>
      <c r="H870" s="28">
        <f>F870*AO870</f>
        <v>0</v>
      </c>
      <c r="I870" s="28">
        <f>F870*AP870</f>
        <v>0</v>
      </c>
      <c r="J870" s="28">
        <f>F870*G870</f>
        <v>0</v>
      </c>
      <c r="K870" s="29" t="s">
        <v>61</v>
      </c>
      <c r="Z870" s="28">
        <f>IF(AQ870="5",BJ870,0)</f>
        <v>0</v>
      </c>
      <c r="AB870" s="28">
        <f>IF(AQ870="1",BH870,0)</f>
        <v>0</v>
      </c>
      <c r="AC870" s="28">
        <f>IF(AQ870="1",BI870,0)</f>
        <v>0</v>
      </c>
      <c r="AD870" s="28">
        <f>IF(AQ870="7",BH870,0)</f>
        <v>0</v>
      </c>
      <c r="AE870" s="28">
        <f>IF(AQ870="7",BI870,0)</f>
        <v>0</v>
      </c>
      <c r="AF870" s="28">
        <f>IF(AQ870="2",BH870,0)</f>
        <v>0</v>
      </c>
      <c r="AG870" s="28">
        <f>IF(AQ870="2",BI870,0)</f>
        <v>0</v>
      </c>
      <c r="AH870" s="28">
        <f>IF(AQ870="0",BJ870,0)</f>
        <v>0</v>
      </c>
      <c r="AI870" s="10" t="s">
        <v>1466</v>
      </c>
      <c r="AJ870" s="28">
        <f>IF(AN870=0,J870,0)</f>
        <v>0</v>
      </c>
      <c r="AK870" s="28">
        <f>IF(AN870=12,J870,0)</f>
        <v>0</v>
      </c>
      <c r="AL870" s="28">
        <f>IF(AN870=21,J870,0)</f>
        <v>0</v>
      </c>
      <c r="AN870" s="28">
        <v>21</v>
      </c>
      <c r="AO870" s="28">
        <f>G870*0.681517241</f>
        <v>0</v>
      </c>
      <c r="AP870" s="28">
        <f>G870*(1-0.681517241)</f>
        <v>0</v>
      </c>
      <c r="AQ870" s="30" t="s">
        <v>57</v>
      </c>
      <c r="AV870" s="28">
        <f>AW870+AX870</f>
        <v>0</v>
      </c>
      <c r="AW870" s="28">
        <f>F870*AO870</f>
        <v>0</v>
      </c>
      <c r="AX870" s="28">
        <f>F870*AP870</f>
        <v>0</v>
      </c>
      <c r="AY870" s="30" t="s">
        <v>1528</v>
      </c>
      <c r="AZ870" s="30" t="s">
        <v>1468</v>
      </c>
      <c r="BA870" s="10" t="s">
        <v>1469</v>
      </c>
      <c r="BC870" s="28">
        <f>AW870+AX870</f>
        <v>0</v>
      </c>
      <c r="BD870" s="28">
        <f>G870/(100-BE870)*100</f>
        <v>0</v>
      </c>
      <c r="BE870" s="28">
        <v>0</v>
      </c>
      <c r="BF870" s="28">
        <f>870</f>
        <v>870</v>
      </c>
      <c r="BH870" s="28">
        <f>F870*AO870</f>
        <v>0</v>
      </c>
      <c r="BI870" s="28">
        <f>F870*AP870</f>
        <v>0</v>
      </c>
      <c r="BJ870" s="28">
        <f>F870*G870</f>
        <v>0</v>
      </c>
      <c r="BK870" s="28"/>
      <c r="BL870" s="28">
        <v>91</v>
      </c>
      <c r="BW870" s="28">
        <v>21</v>
      </c>
    </row>
    <row r="871" spans="1:75" x14ac:dyDescent="0.25">
      <c r="A871" s="31"/>
      <c r="C871" s="32" t="s">
        <v>1536</v>
      </c>
      <c r="D871" s="32" t="s">
        <v>52</v>
      </c>
      <c r="F871" s="33">
        <v>41</v>
      </c>
      <c r="K871" s="34"/>
    </row>
    <row r="872" spans="1:75" x14ac:dyDescent="0.25">
      <c r="A872" s="24" t="s">
        <v>52</v>
      </c>
      <c r="B872" s="25" t="s">
        <v>221</v>
      </c>
      <c r="C872" s="139" t="s">
        <v>222</v>
      </c>
      <c r="D872" s="140"/>
      <c r="E872" s="26" t="s">
        <v>4</v>
      </c>
      <c r="F872" s="26" t="s">
        <v>4</v>
      </c>
      <c r="G872" s="26" t="s">
        <v>4</v>
      </c>
      <c r="H872" s="1">
        <f>SUM(H873:H875)</f>
        <v>0</v>
      </c>
      <c r="I872" s="1">
        <f>SUM(I873:I875)</f>
        <v>0</v>
      </c>
      <c r="J872" s="1">
        <f>SUM(J873:J875)</f>
        <v>0</v>
      </c>
      <c r="K872" s="27" t="s">
        <v>52</v>
      </c>
      <c r="AI872" s="10" t="s">
        <v>1466</v>
      </c>
      <c r="AS872" s="1">
        <f>SUM(AJ873:AJ875)</f>
        <v>0</v>
      </c>
      <c r="AT872" s="1">
        <f>SUM(AK873:AK875)</f>
        <v>0</v>
      </c>
      <c r="AU872" s="1">
        <f>SUM(AL873:AL875)</f>
        <v>0</v>
      </c>
    </row>
    <row r="873" spans="1:75" ht="13.5" customHeight="1" x14ac:dyDescent="0.25">
      <c r="A873" s="2" t="s">
        <v>1537</v>
      </c>
      <c r="B873" s="3" t="s">
        <v>224</v>
      </c>
      <c r="C873" s="83" t="s">
        <v>1538</v>
      </c>
      <c r="D873" s="80"/>
      <c r="E873" s="3" t="s">
        <v>71</v>
      </c>
      <c r="F873" s="28">
        <v>84.033000000000001</v>
      </c>
      <c r="G873" s="28">
        <v>0</v>
      </c>
      <c r="H873" s="28">
        <f>F873*AO873</f>
        <v>0</v>
      </c>
      <c r="I873" s="28">
        <f>F873*AP873</f>
        <v>0</v>
      </c>
      <c r="J873" s="28">
        <f>F873*G873</f>
        <v>0</v>
      </c>
      <c r="K873" s="29" t="s">
        <v>61</v>
      </c>
      <c r="Z873" s="28">
        <f>IF(AQ873="5",BJ873,0)</f>
        <v>0</v>
      </c>
      <c r="AB873" s="28">
        <f>IF(AQ873="1",BH873,0)</f>
        <v>0</v>
      </c>
      <c r="AC873" s="28">
        <f>IF(AQ873="1",BI873,0)</f>
        <v>0</v>
      </c>
      <c r="AD873" s="28">
        <f>IF(AQ873="7",BH873,0)</f>
        <v>0</v>
      </c>
      <c r="AE873" s="28">
        <f>IF(AQ873="7",BI873,0)</f>
        <v>0</v>
      </c>
      <c r="AF873" s="28">
        <f>IF(AQ873="2",BH873,0)</f>
        <v>0</v>
      </c>
      <c r="AG873" s="28">
        <f>IF(AQ873="2",BI873,0)</f>
        <v>0</v>
      </c>
      <c r="AH873" s="28">
        <f>IF(AQ873="0",BJ873,0)</f>
        <v>0</v>
      </c>
      <c r="AI873" s="10" t="s">
        <v>1466</v>
      </c>
      <c r="AJ873" s="28">
        <f>IF(AN873=0,J873,0)</f>
        <v>0</v>
      </c>
      <c r="AK873" s="28">
        <f>IF(AN873=12,J873,0)</f>
        <v>0</v>
      </c>
      <c r="AL873" s="28">
        <f>IF(AN873=21,J873,0)</f>
        <v>0</v>
      </c>
      <c r="AN873" s="28">
        <v>21</v>
      </c>
      <c r="AO873" s="28">
        <f>G873*0</f>
        <v>0</v>
      </c>
      <c r="AP873" s="28">
        <f>G873*(1-0)</f>
        <v>0</v>
      </c>
      <c r="AQ873" s="30" t="s">
        <v>87</v>
      </c>
      <c r="AV873" s="28">
        <f>AW873+AX873</f>
        <v>0</v>
      </c>
      <c r="AW873" s="28">
        <f>F873*AO873</f>
        <v>0</v>
      </c>
      <c r="AX873" s="28">
        <f>F873*AP873</f>
        <v>0</v>
      </c>
      <c r="AY873" s="30" t="s">
        <v>226</v>
      </c>
      <c r="AZ873" s="30" t="s">
        <v>1468</v>
      </c>
      <c r="BA873" s="10" t="s">
        <v>1469</v>
      </c>
      <c r="BC873" s="28">
        <f>AW873+AX873</f>
        <v>0</v>
      </c>
      <c r="BD873" s="28">
        <f>G873/(100-BE873)*100</f>
        <v>0</v>
      </c>
      <c r="BE873" s="28">
        <v>0</v>
      </c>
      <c r="BF873" s="28">
        <f>873</f>
        <v>873</v>
      </c>
      <c r="BH873" s="28">
        <f>F873*AO873</f>
        <v>0</v>
      </c>
      <c r="BI873" s="28">
        <f>F873*AP873</f>
        <v>0</v>
      </c>
      <c r="BJ873" s="28">
        <f>F873*G873</f>
        <v>0</v>
      </c>
      <c r="BK873" s="28"/>
      <c r="BL873" s="28"/>
      <c r="BW873" s="28">
        <v>21</v>
      </c>
    </row>
    <row r="874" spans="1:75" x14ac:dyDescent="0.25">
      <c r="A874" s="31"/>
      <c r="C874" s="32" t="s">
        <v>1539</v>
      </c>
      <c r="D874" s="32" t="s">
        <v>52</v>
      </c>
      <c r="F874" s="33">
        <v>84.033000000000001</v>
      </c>
      <c r="K874" s="34"/>
    </row>
    <row r="875" spans="1:75" ht="13.5" customHeight="1" x14ac:dyDescent="0.25">
      <c r="A875" s="2" t="s">
        <v>1540</v>
      </c>
      <c r="B875" s="3" t="s">
        <v>1541</v>
      </c>
      <c r="C875" s="83" t="s">
        <v>1542</v>
      </c>
      <c r="D875" s="80"/>
      <c r="E875" s="3" t="s">
        <v>71</v>
      </c>
      <c r="F875" s="28">
        <v>168.066</v>
      </c>
      <c r="G875" s="28">
        <v>0</v>
      </c>
      <c r="H875" s="28">
        <f>F875*AO875</f>
        <v>0</v>
      </c>
      <c r="I875" s="28">
        <f>F875*AP875</f>
        <v>0</v>
      </c>
      <c r="J875" s="28">
        <f>F875*G875</f>
        <v>0</v>
      </c>
      <c r="K875" s="29" t="s">
        <v>61</v>
      </c>
      <c r="Z875" s="28">
        <f>IF(AQ875="5",BJ875,0)</f>
        <v>0</v>
      </c>
      <c r="AB875" s="28">
        <f>IF(AQ875="1",BH875,0)</f>
        <v>0</v>
      </c>
      <c r="AC875" s="28">
        <f>IF(AQ875="1",BI875,0)</f>
        <v>0</v>
      </c>
      <c r="AD875" s="28">
        <f>IF(AQ875="7",BH875,0)</f>
        <v>0</v>
      </c>
      <c r="AE875" s="28">
        <f>IF(AQ875="7",BI875,0)</f>
        <v>0</v>
      </c>
      <c r="AF875" s="28">
        <f>IF(AQ875="2",BH875,0)</f>
        <v>0</v>
      </c>
      <c r="AG875" s="28">
        <f>IF(AQ875="2",BI875,0)</f>
        <v>0</v>
      </c>
      <c r="AH875" s="28">
        <f>IF(AQ875="0",BJ875,0)</f>
        <v>0</v>
      </c>
      <c r="AI875" s="10" t="s">
        <v>1466</v>
      </c>
      <c r="AJ875" s="28">
        <f>IF(AN875=0,J875,0)</f>
        <v>0</v>
      </c>
      <c r="AK875" s="28">
        <f>IF(AN875=12,J875,0)</f>
        <v>0</v>
      </c>
      <c r="AL875" s="28">
        <f>IF(AN875=21,J875,0)</f>
        <v>0</v>
      </c>
      <c r="AN875" s="28">
        <v>21</v>
      </c>
      <c r="AO875" s="28">
        <f>G875*0</f>
        <v>0</v>
      </c>
      <c r="AP875" s="28">
        <f>G875*(1-0)</f>
        <v>0</v>
      </c>
      <c r="AQ875" s="30" t="s">
        <v>87</v>
      </c>
      <c r="AV875" s="28">
        <f>AW875+AX875</f>
        <v>0</v>
      </c>
      <c r="AW875" s="28">
        <f>F875*AO875</f>
        <v>0</v>
      </c>
      <c r="AX875" s="28">
        <f>F875*AP875</f>
        <v>0</v>
      </c>
      <c r="AY875" s="30" t="s">
        <v>226</v>
      </c>
      <c r="AZ875" s="30" t="s">
        <v>1468</v>
      </c>
      <c r="BA875" s="10" t="s">
        <v>1469</v>
      </c>
      <c r="BC875" s="28">
        <f>AW875+AX875</f>
        <v>0</v>
      </c>
      <c r="BD875" s="28">
        <f>G875/(100-BE875)*100</f>
        <v>0</v>
      </c>
      <c r="BE875" s="28">
        <v>0</v>
      </c>
      <c r="BF875" s="28">
        <f>875</f>
        <v>875</v>
      </c>
      <c r="BH875" s="28">
        <f>F875*AO875</f>
        <v>0</v>
      </c>
      <c r="BI875" s="28">
        <f>F875*AP875</f>
        <v>0</v>
      </c>
      <c r="BJ875" s="28">
        <f>F875*G875</f>
        <v>0</v>
      </c>
      <c r="BK875" s="28"/>
      <c r="BL875" s="28"/>
      <c r="BW875" s="28">
        <v>21</v>
      </c>
    </row>
    <row r="876" spans="1:75" x14ac:dyDescent="0.25">
      <c r="A876" s="31"/>
      <c r="C876" s="32" t="s">
        <v>1543</v>
      </c>
      <c r="D876" s="32" t="s">
        <v>1544</v>
      </c>
      <c r="F876" s="33">
        <v>168.066</v>
      </c>
      <c r="K876" s="34"/>
    </row>
    <row r="877" spans="1:75" x14ac:dyDescent="0.25">
      <c r="A877" s="24" t="s">
        <v>52</v>
      </c>
      <c r="B877" s="25" t="s">
        <v>52</v>
      </c>
      <c r="C877" s="139" t="s">
        <v>1545</v>
      </c>
      <c r="D877" s="140"/>
      <c r="E877" s="26" t="s">
        <v>4</v>
      </c>
      <c r="F877" s="26" t="s">
        <v>4</v>
      </c>
      <c r="G877" s="26" t="s">
        <v>4</v>
      </c>
      <c r="H877" s="1">
        <f>H878+H883+H896+H904+H907+H913+H937+H962+H983+H1033</f>
        <v>0</v>
      </c>
      <c r="I877" s="1">
        <f>I878+I883+I896+I904+I907+I913+I937+I962+I983+I1033</f>
        <v>0</v>
      </c>
      <c r="J877" s="1">
        <f>J878+J883+J896+J904+J907+J913+J937+J962+J983+J1033</f>
        <v>0</v>
      </c>
      <c r="K877" s="27" t="s">
        <v>52</v>
      </c>
    </row>
    <row r="878" spans="1:75" x14ac:dyDescent="0.25">
      <c r="A878" s="24" t="s">
        <v>52</v>
      </c>
      <c r="B878" s="25" t="s">
        <v>84</v>
      </c>
      <c r="C878" s="139" t="s">
        <v>1546</v>
      </c>
      <c r="D878" s="140"/>
      <c r="E878" s="26" t="s">
        <v>4</v>
      </c>
      <c r="F878" s="26" t="s">
        <v>4</v>
      </c>
      <c r="G878" s="26" t="s">
        <v>4</v>
      </c>
      <c r="H878" s="1">
        <f>SUM(H879:H881)</f>
        <v>0</v>
      </c>
      <c r="I878" s="1">
        <f>SUM(I879:I881)</f>
        <v>0</v>
      </c>
      <c r="J878" s="1">
        <f>SUM(J879:J881)</f>
        <v>0</v>
      </c>
      <c r="K878" s="27" t="s">
        <v>52</v>
      </c>
      <c r="AI878" s="10" t="s">
        <v>1547</v>
      </c>
      <c r="AS878" s="1">
        <f>SUM(AJ879:AJ881)</f>
        <v>0</v>
      </c>
      <c r="AT878" s="1">
        <f>SUM(AK879:AK881)</f>
        <v>0</v>
      </c>
      <c r="AU878" s="1">
        <f>SUM(AL879:AL881)</f>
        <v>0</v>
      </c>
    </row>
    <row r="879" spans="1:75" ht="13.5" customHeight="1" x14ac:dyDescent="0.25">
      <c r="A879" s="2" t="s">
        <v>1548</v>
      </c>
      <c r="B879" s="3" t="s">
        <v>1549</v>
      </c>
      <c r="C879" s="83" t="s">
        <v>1550</v>
      </c>
      <c r="D879" s="80"/>
      <c r="E879" s="3" t="s">
        <v>167</v>
      </c>
      <c r="F879" s="28">
        <v>1</v>
      </c>
      <c r="G879" s="28">
        <v>0</v>
      </c>
      <c r="H879" s="28">
        <f>F879*AO879</f>
        <v>0</v>
      </c>
      <c r="I879" s="28">
        <f>F879*AP879</f>
        <v>0</v>
      </c>
      <c r="J879" s="28">
        <f>F879*G879</f>
        <v>0</v>
      </c>
      <c r="K879" s="29" t="s">
        <v>1491</v>
      </c>
      <c r="Z879" s="28">
        <f>IF(AQ879="5",BJ879,0)</f>
        <v>0</v>
      </c>
      <c r="AB879" s="28">
        <f>IF(AQ879="1",BH879,0)</f>
        <v>0</v>
      </c>
      <c r="AC879" s="28">
        <f>IF(AQ879="1",BI879,0)</f>
        <v>0</v>
      </c>
      <c r="AD879" s="28">
        <f>IF(AQ879="7",BH879,0)</f>
        <v>0</v>
      </c>
      <c r="AE879" s="28">
        <f>IF(AQ879="7",BI879,0)</f>
        <v>0</v>
      </c>
      <c r="AF879" s="28">
        <f>IF(AQ879="2",BH879,0)</f>
        <v>0</v>
      </c>
      <c r="AG879" s="28">
        <f>IF(AQ879="2",BI879,0)</f>
        <v>0</v>
      </c>
      <c r="AH879" s="28">
        <f>IF(AQ879="0",BJ879,0)</f>
        <v>0</v>
      </c>
      <c r="AI879" s="10" t="s">
        <v>1547</v>
      </c>
      <c r="AJ879" s="28">
        <f>IF(AN879=0,J879,0)</f>
        <v>0</v>
      </c>
      <c r="AK879" s="28">
        <f>IF(AN879=12,J879,0)</f>
        <v>0</v>
      </c>
      <c r="AL879" s="28">
        <f>IF(AN879=21,J879,0)</f>
        <v>0</v>
      </c>
      <c r="AN879" s="28">
        <v>21</v>
      </c>
      <c r="AO879" s="28">
        <f>G879*0.847993413</f>
        <v>0</v>
      </c>
      <c r="AP879" s="28">
        <f>G879*(1-0.847993413)</f>
        <v>0</v>
      </c>
      <c r="AQ879" s="30" t="s">
        <v>57</v>
      </c>
      <c r="AV879" s="28">
        <f>AW879+AX879</f>
        <v>0</v>
      </c>
      <c r="AW879" s="28">
        <f>F879*AO879</f>
        <v>0</v>
      </c>
      <c r="AX879" s="28">
        <f>F879*AP879</f>
        <v>0</v>
      </c>
      <c r="AY879" s="30" t="s">
        <v>1551</v>
      </c>
      <c r="AZ879" s="30" t="s">
        <v>1552</v>
      </c>
      <c r="BA879" s="10" t="s">
        <v>1553</v>
      </c>
      <c r="BC879" s="28">
        <f>AW879+AX879</f>
        <v>0</v>
      </c>
      <c r="BD879" s="28">
        <f>G879/(100-BE879)*100</f>
        <v>0</v>
      </c>
      <c r="BE879" s="28">
        <v>0</v>
      </c>
      <c r="BF879" s="28">
        <f>879</f>
        <v>879</v>
      </c>
      <c r="BH879" s="28">
        <f>F879*AO879</f>
        <v>0</v>
      </c>
      <c r="BI879" s="28">
        <f>F879*AP879</f>
        <v>0</v>
      </c>
      <c r="BJ879" s="28">
        <f>F879*G879</f>
        <v>0</v>
      </c>
      <c r="BK879" s="28"/>
      <c r="BL879" s="28">
        <v>4</v>
      </c>
      <c r="BW879" s="28">
        <v>21</v>
      </c>
    </row>
    <row r="880" spans="1:75" x14ac:dyDescent="0.25">
      <c r="A880" s="31"/>
      <c r="C880" s="32" t="s">
        <v>57</v>
      </c>
      <c r="D880" s="32" t="s">
        <v>52</v>
      </c>
      <c r="F880" s="33">
        <v>1</v>
      </c>
      <c r="K880" s="34"/>
    </row>
    <row r="881" spans="1:75" ht="13.5" customHeight="1" x14ac:dyDescent="0.25">
      <c r="A881" s="2" t="s">
        <v>1554</v>
      </c>
      <c r="B881" s="3" t="s">
        <v>1555</v>
      </c>
      <c r="C881" s="83" t="s">
        <v>1556</v>
      </c>
      <c r="D881" s="80"/>
      <c r="E881" s="3" t="s">
        <v>71</v>
      </c>
      <c r="F881" s="28">
        <v>0.02</v>
      </c>
      <c r="G881" s="28">
        <v>0</v>
      </c>
      <c r="H881" s="28">
        <f>F881*AO881</f>
        <v>0</v>
      </c>
      <c r="I881" s="28">
        <f>F881*AP881</f>
        <v>0</v>
      </c>
      <c r="J881" s="28">
        <f>F881*G881</f>
        <v>0</v>
      </c>
      <c r="K881" s="29" t="s">
        <v>1491</v>
      </c>
      <c r="Z881" s="28">
        <f>IF(AQ881="5",BJ881,0)</f>
        <v>0</v>
      </c>
      <c r="AB881" s="28">
        <f>IF(AQ881="1",BH881,0)</f>
        <v>0</v>
      </c>
      <c r="AC881" s="28">
        <f>IF(AQ881="1",BI881,0)</f>
        <v>0</v>
      </c>
      <c r="AD881" s="28">
        <f>IF(AQ881="7",BH881,0)</f>
        <v>0</v>
      </c>
      <c r="AE881" s="28">
        <f>IF(AQ881="7",BI881,0)</f>
        <v>0</v>
      </c>
      <c r="AF881" s="28">
        <f>IF(AQ881="2",BH881,0)</f>
        <v>0</v>
      </c>
      <c r="AG881" s="28">
        <f>IF(AQ881="2",BI881,0)</f>
        <v>0</v>
      </c>
      <c r="AH881" s="28">
        <f>IF(AQ881="0",BJ881,0)</f>
        <v>0</v>
      </c>
      <c r="AI881" s="10" t="s">
        <v>1547</v>
      </c>
      <c r="AJ881" s="28">
        <f>IF(AN881=0,J881,0)</f>
        <v>0</v>
      </c>
      <c r="AK881" s="28">
        <f>IF(AN881=12,J881,0)</f>
        <v>0</v>
      </c>
      <c r="AL881" s="28">
        <f>IF(AN881=21,J881,0)</f>
        <v>0</v>
      </c>
      <c r="AN881" s="28">
        <v>21</v>
      </c>
      <c r="AO881" s="28">
        <f>G881*0</f>
        <v>0</v>
      </c>
      <c r="AP881" s="28">
        <f>G881*(1-0)</f>
        <v>0</v>
      </c>
      <c r="AQ881" s="30" t="s">
        <v>87</v>
      </c>
      <c r="AV881" s="28">
        <f>AW881+AX881</f>
        <v>0</v>
      </c>
      <c r="AW881" s="28">
        <f>F881*AO881</f>
        <v>0</v>
      </c>
      <c r="AX881" s="28">
        <f>F881*AP881</f>
        <v>0</v>
      </c>
      <c r="AY881" s="30" t="s">
        <v>1551</v>
      </c>
      <c r="AZ881" s="30" t="s">
        <v>1552</v>
      </c>
      <c r="BA881" s="10" t="s">
        <v>1553</v>
      </c>
      <c r="BC881" s="28">
        <f>AW881+AX881</f>
        <v>0</v>
      </c>
      <c r="BD881" s="28">
        <f>G881/(100-BE881)*100</f>
        <v>0</v>
      </c>
      <c r="BE881" s="28">
        <v>0</v>
      </c>
      <c r="BF881" s="28">
        <f>881</f>
        <v>881</v>
      </c>
      <c r="BH881" s="28">
        <f>F881*AO881</f>
        <v>0</v>
      </c>
      <c r="BI881" s="28">
        <f>F881*AP881</f>
        <v>0</v>
      </c>
      <c r="BJ881" s="28">
        <f>F881*G881</f>
        <v>0</v>
      </c>
      <c r="BK881" s="28"/>
      <c r="BL881" s="28">
        <v>4</v>
      </c>
      <c r="BW881" s="28">
        <v>21</v>
      </c>
    </row>
    <row r="882" spans="1:75" x14ac:dyDescent="0.25">
      <c r="A882" s="31"/>
      <c r="C882" s="32" t="s">
        <v>661</v>
      </c>
      <c r="D882" s="32" t="s">
        <v>52</v>
      </c>
      <c r="F882" s="33">
        <v>0.02</v>
      </c>
      <c r="K882" s="34"/>
    </row>
    <row r="883" spans="1:75" x14ac:dyDescent="0.25">
      <c r="A883" s="24" t="s">
        <v>52</v>
      </c>
      <c r="B883" s="25" t="s">
        <v>129</v>
      </c>
      <c r="C883" s="139" t="s">
        <v>235</v>
      </c>
      <c r="D883" s="140"/>
      <c r="E883" s="26" t="s">
        <v>4</v>
      </c>
      <c r="F883" s="26" t="s">
        <v>4</v>
      </c>
      <c r="G883" s="26" t="s">
        <v>4</v>
      </c>
      <c r="H883" s="1">
        <f>SUM(H884:H894)</f>
        <v>0</v>
      </c>
      <c r="I883" s="1">
        <f>SUM(I884:I894)</f>
        <v>0</v>
      </c>
      <c r="J883" s="1">
        <f>SUM(J884:J894)</f>
        <v>0</v>
      </c>
      <c r="K883" s="27" t="s">
        <v>52</v>
      </c>
      <c r="AI883" s="10" t="s">
        <v>1547</v>
      </c>
      <c r="AS883" s="1">
        <f>SUM(AJ884:AJ894)</f>
        <v>0</v>
      </c>
      <c r="AT883" s="1">
        <f>SUM(AK884:AK894)</f>
        <v>0</v>
      </c>
      <c r="AU883" s="1">
        <f>SUM(AL884:AL894)</f>
        <v>0</v>
      </c>
    </row>
    <row r="884" spans="1:75" ht="13.5" customHeight="1" x14ac:dyDescent="0.25">
      <c r="A884" s="2" t="s">
        <v>1557</v>
      </c>
      <c r="B884" s="3" t="s">
        <v>1558</v>
      </c>
      <c r="C884" s="83" t="s">
        <v>1559</v>
      </c>
      <c r="D884" s="80"/>
      <c r="E884" s="3" t="s">
        <v>60</v>
      </c>
      <c r="F884" s="28">
        <v>34.4</v>
      </c>
      <c r="G884" s="28">
        <v>0</v>
      </c>
      <c r="H884" s="28">
        <f>F884*AO884</f>
        <v>0</v>
      </c>
      <c r="I884" s="28">
        <f>F884*AP884</f>
        <v>0</v>
      </c>
      <c r="J884" s="28">
        <f>F884*G884</f>
        <v>0</v>
      </c>
      <c r="K884" s="29" t="s">
        <v>1491</v>
      </c>
      <c r="Z884" s="28">
        <f>IF(AQ884="5",BJ884,0)</f>
        <v>0</v>
      </c>
      <c r="AB884" s="28">
        <f>IF(AQ884="1",BH884,0)</f>
        <v>0</v>
      </c>
      <c r="AC884" s="28">
        <f>IF(AQ884="1",BI884,0)</f>
        <v>0</v>
      </c>
      <c r="AD884" s="28">
        <f>IF(AQ884="7",BH884,0)</f>
        <v>0</v>
      </c>
      <c r="AE884" s="28">
        <f>IF(AQ884="7",BI884,0)</f>
        <v>0</v>
      </c>
      <c r="AF884" s="28">
        <f>IF(AQ884="2",BH884,0)</f>
        <v>0</v>
      </c>
      <c r="AG884" s="28">
        <f>IF(AQ884="2",BI884,0)</f>
        <v>0</v>
      </c>
      <c r="AH884" s="28">
        <f>IF(AQ884="0",BJ884,0)</f>
        <v>0</v>
      </c>
      <c r="AI884" s="10" t="s">
        <v>1547</v>
      </c>
      <c r="AJ884" s="28">
        <f>IF(AN884=0,J884,0)</f>
        <v>0</v>
      </c>
      <c r="AK884" s="28">
        <f>IF(AN884=12,J884,0)</f>
        <v>0</v>
      </c>
      <c r="AL884" s="28">
        <f>IF(AN884=21,J884,0)</f>
        <v>0</v>
      </c>
      <c r="AN884" s="28">
        <v>21</v>
      </c>
      <c r="AO884" s="28">
        <f>G884*0</f>
        <v>0</v>
      </c>
      <c r="AP884" s="28">
        <f>G884*(1-0)</f>
        <v>0</v>
      </c>
      <c r="AQ884" s="30" t="s">
        <v>57</v>
      </c>
      <c r="AV884" s="28">
        <f>AW884+AX884</f>
        <v>0</v>
      </c>
      <c r="AW884" s="28">
        <f>F884*AO884</f>
        <v>0</v>
      </c>
      <c r="AX884" s="28">
        <f>F884*AP884</f>
        <v>0</v>
      </c>
      <c r="AY884" s="30" t="s">
        <v>240</v>
      </c>
      <c r="AZ884" s="30" t="s">
        <v>1560</v>
      </c>
      <c r="BA884" s="10" t="s">
        <v>1553</v>
      </c>
      <c r="BC884" s="28">
        <f>AW884+AX884</f>
        <v>0</v>
      </c>
      <c r="BD884" s="28">
        <f>G884/(100-BE884)*100</f>
        <v>0</v>
      </c>
      <c r="BE884" s="28">
        <v>0</v>
      </c>
      <c r="BF884" s="28">
        <f>884</f>
        <v>884</v>
      </c>
      <c r="BH884" s="28">
        <f>F884*AO884</f>
        <v>0</v>
      </c>
      <c r="BI884" s="28">
        <f>F884*AP884</f>
        <v>0</v>
      </c>
      <c r="BJ884" s="28">
        <f>F884*G884</f>
        <v>0</v>
      </c>
      <c r="BK884" s="28"/>
      <c r="BL884" s="28">
        <v>13</v>
      </c>
      <c r="BW884" s="28">
        <v>21</v>
      </c>
    </row>
    <row r="885" spans="1:75" x14ac:dyDescent="0.25">
      <c r="A885" s="31"/>
      <c r="C885" s="32" t="s">
        <v>1561</v>
      </c>
      <c r="D885" s="32" t="s">
        <v>1562</v>
      </c>
      <c r="F885" s="33">
        <v>44.4</v>
      </c>
      <c r="K885" s="34"/>
    </row>
    <row r="886" spans="1:75" x14ac:dyDescent="0.25">
      <c r="A886" s="31"/>
      <c r="C886" s="32" t="s">
        <v>1563</v>
      </c>
      <c r="D886" s="32" t="s">
        <v>1564</v>
      </c>
      <c r="F886" s="33">
        <v>-10</v>
      </c>
      <c r="K886" s="34"/>
    </row>
    <row r="887" spans="1:75" ht="13.5" customHeight="1" x14ac:dyDescent="0.25">
      <c r="A887" s="2" t="s">
        <v>1565</v>
      </c>
      <c r="B887" s="3" t="s">
        <v>1566</v>
      </c>
      <c r="C887" s="83" t="s">
        <v>1567</v>
      </c>
      <c r="D887" s="80"/>
      <c r="E887" s="3" t="s">
        <v>60</v>
      </c>
      <c r="F887" s="28">
        <v>10</v>
      </c>
      <c r="G887" s="28">
        <v>0</v>
      </c>
      <c r="H887" s="28">
        <f>F887*AO887</f>
        <v>0</v>
      </c>
      <c r="I887" s="28">
        <f>F887*AP887</f>
        <v>0</v>
      </c>
      <c r="J887" s="28">
        <f>F887*G887</f>
        <v>0</v>
      </c>
      <c r="K887" s="29" t="s">
        <v>1491</v>
      </c>
      <c r="Z887" s="28">
        <f>IF(AQ887="5",BJ887,0)</f>
        <v>0</v>
      </c>
      <c r="AB887" s="28">
        <f>IF(AQ887="1",BH887,0)</f>
        <v>0</v>
      </c>
      <c r="AC887" s="28">
        <f>IF(AQ887="1",BI887,0)</f>
        <v>0</v>
      </c>
      <c r="AD887" s="28">
        <f>IF(AQ887="7",BH887,0)</f>
        <v>0</v>
      </c>
      <c r="AE887" s="28">
        <f>IF(AQ887="7",BI887,0)</f>
        <v>0</v>
      </c>
      <c r="AF887" s="28">
        <f>IF(AQ887="2",BH887,0)</f>
        <v>0</v>
      </c>
      <c r="AG887" s="28">
        <f>IF(AQ887="2",BI887,0)</f>
        <v>0</v>
      </c>
      <c r="AH887" s="28">
        <f>IF(AQ887="0",BJ887,0)</f>
        <v>0</v>
      </c>
      <c r="AI887" s="10" t="s">
        <v>1547</v>
      </c>
      <c r="AJ887" s="28">
        <f>IF(AN887=0,J887,0)</f>
        <v>0</v>
      </c>
      <c r="AK887" s="28">
        <f>IF(AN887=12,J887,0)</f>
        <v>0</v>
      </c>
      <c r="AL887" s="28">
        <f>IF(AN887=21,J887,0)</f>
        <v>0</v>
      </c>
      <c r="AN887" s="28">
        <v>21</v>
      </c>
      <c r="AO887" s="28">
        <f>G887*0</f>
        <v>0</v>
      </c>
      <c r="AP887" s="28">
        <f>G887*(1-0)</f>
        <v>0</v>
      </c>
      <c r="AQ887" s="30" t="s">
        <v>57</v>
      </c>
      <c r="AV887" s="28">
        <f>AW887+AX887</f>
        <v>0</v>
      </c>
      <c r="AW887" s="28">
        <f>F887*AO887</f>
        <v>0</v>
      </c>
      <c r="AX887" s="28">
        <f>F887*AP887</f>
        <v>0</v>
      </c>
      <c r="AY887" s="30" t="s">
        <v>240</v>
      </c>
      <c r="AZ887" s="30" t="s">
        <v>1560</v>
      </c>
      <c r="BA887" s="10" t="s">
        <v>1553</v>
      </c>
      <c r="BC887" s="28">
        <f>AW887+AX887</f>
        <v>0</v>
      </c>
      <c r="BD887" s="28">
        <f>G887/(100-BE887)*100</f>
        <v>0</v>
      </c>
      <c r="BE887" s="28">
        <v>0</v>
      </c>
      <c r="BF887" s="28">
        <f>887</f>
        <v>887</v>
      </c>
      <c r="BH887" s="28">
        <f>F887*AO887</f>
        <v>0</v>
      </c>
      <c r="BI887" s="28">
        <f>F887*AP887</f>
        <v>0</v>
      </c>
      <c r="BJ887" s="28">
        <f>F887*G887</f>
        <v>0</v>
      </c>
      <c r="BK887" s="28"/>
      <c r="BL887" s="28">
        <v>13</v>
      </c>
      <c r="BW887" s="28">
        <v>21</v>
      </c>
    </row>
    <row r="888" spans="1:75" x14ac:dyDescent="0.25">
      <c r="A888" s="31"/>
      <c r="C888" s="32" t="s">
        <v>1568</v>
      </c>
      <c r="D888" s="32" t="s">
        <v>1569</v>
      </c>
      <c r="F888" s="33">
        <v>8.5</v>
      </c>
      <c r="K888" s="34"/>
    </row>
    <row r="889" spans="1:75" x14ac:dyDescent="0.25">
      <c r="A889" s="31"/>
      <c r="C889" s="32" t="s">
        <v>1570</v>
      </c>
      <c r="D889" s="32" t="s">
        <v>1571</v>
      </c>
      <c r="F889" s="33">
        <v>1.5</v>
      </c>
      <c r="K889" s="34"/>
    </row>
    <row r="890" spans="1:75" ht="13.5" customHeight="1" x14ac:dyDescent="0.25">
      <c r="A890" s="2" t="s">
        <v>1572</v>
      </c>
      <c r="B890" s="3" t="s">
        <v>279</v>
      </c>
      <c r="C890" s="83" t="s">
        <v>1573</v>
      </c>
      <c r="D890" s="80"/>
      <c r="E890" s="3" t="s">
        <v>60</v>
      </c>
      <c r="F890" s="28">
        <v>34</v>
      </c>
      <c r="G890" s="28">
        <v>0</v>
      </c>
      <c r="H890" s="28">
        <f>F890*AO890</f>
        <v>0</v>
      </c>
      <c r="I890" s="28">
        <f>F890*AP890</f>
        <v>0</v>
      </c>
      <c r="J890" s="28">
        <f>F890*G890</f>
        <v>0</v>
      </c>
      <c r="K890" s="29" t="s">
        <v>1491</v>
      </c>
      <c r="Z890" s="28">
        <f>IF(AQ890="5",BJ890,0)</f>
        <v>0</v>
      </c>
      <c r="AB890" s="28">
        <f>IF(AQ890="1",BH890,0)</f>
        <v>0</v>
      </c>
      <c r="AC890" s="28">
        <f>IF(AQ890="1",BI890,0)</f>
        <v>0</v>
      </c>
      <c r="AD890" s="28">
        <f>IF(AQ890="7",BH890,0)</f>
        <v>0</v>
      </c>
      <c r="AE890" s="28">
        <f>IF(AQ890="7",BI890,0)</f>
        <v>0</v>
      </c>
      <c r="AF890" s="28">
        <f>IF(AQ890="2",BH890,0)</f>
        <v>0</v>
      </c>
      <c r="AG890" s="28">
        <f>IF(AQ890="2",BI890,0)</f>
        <v>0</v>
      </c>
      <c r="AH890" s="28">
        <f>IF(AQ890="0",BJ890,0)</f>
        <v>0</v>
      </c>
      <c r="AI890" s="10" t="s">
        <v>1547</v>
      </c>
      <c r="AJ890" s="28">
        <f>IF(AN890=0,J890,0)</f>
        <v>0</v>
      </c>
      <c r="AK890" s="28">
        <f>IF(AN890=12,J890,0)</f>
        <v>0</v>
      </c>
      <c r="AL890" s="28">
        <f>IF(AN890=21,J890,0)</f>
        <v>0</v>
      </c>
      <c r="AN890" s="28">
        <v>21</v>
      </c>
      <c r="AO890" s="28">
        <f>G890*0</f>
        <v>0</v>
      </c>
      <c r="AP890" s="28">
        <f>G890*(1-0)</f>
        <v>0</v>
      </c>
      <c r="AQ890" s="30" t="s">
        <v>57</v>
      </c>
      <c r="AV890" s="28">
        <f>AW890+AX890</f>
        <v>0</v>
      </c>
      <c r="AW890" s="28">
        <f>F890*AO890</f>
        <v>0</v>
      </c>
      <c r="AX890" s="28">
        <f>F890*AP890</f>
        <v>0</v>
      </c>
      <c r="AY890" s="30" t="s">
        <v>240</v>
      </c>
      <c r="AZ890" s="30" t="s">
        <v>1560</v>
      </c>
      <c r="BA890" s="10" t="s">
        <v>1553</v>
      </c>
      <c r="BC890" s="28">
        <f>AW890+AX890</f>
        <v>0</v>
      </c>
      <c r="BD890" s="28">
        <f>G890/(100-BE890)*100</f>
        <v>0</v>
      </c>
      <c r="BE890" s="28">
        <v>0</v>
      </c>
      <c r="BF890" s="28">
        <f>890</f>
        <v>890</v>
      </c>
      <c r="BH890" s="28">
        <f>F890*AO890</f>
        <v>0</v>
      </c>
      <c r="BI890" s="28">
        <f>F890*AP890</f>
        <v>0</v>
      </c>
      <c r="BJ890" s="28">
        <f>F890*G890</f>
        <v>0</v>
      </c>
      <c r="BK890" s="28"/>
      <c r="BL890" s="28">
        <v>13</v>
      </c>
      <c r="BW890" s="28">
        <v>21</v>
      </c>
    </row>
    <row r="891" spans="1:75" x14ac:dyDescent="0.25">
      <c r="A891" s="31"/>
      <c r="C891" s="32" t="s">
        <v>245</v>
      </c>
      <c r="D891" s="32" t="s">
        <v>52</v>
      </c>
      <c r="F891" s="33">
        <v>34</v>
      </c>
      <c r="K891" s="34"/>
    </row>
    <row r="892" spans="1:75" ht="13.5" customHeight="1" x14ac:dyDescent="0.25">
      <c r="A892" s="2" t="s">
        <v>1574</v>
      </c>
      <c r="B892" s="3" t="s">
        <v>1575</v>
      </c>
      <c r="C892" s="83" t="s">
        <v>1576</v>
      </c>
      <c r="D892" s="80"/>
      <c r="E892" s="3" t="s">
        <v>60</v>
      </c>
      <c r="F892" s="28">
        <v>44</v>
      </c>
      <c r="G892" s="28">
        <v>0</v>
      </c>
      <c r="H892" s="28">
        <f>F892*AO892</f>
        <v>0</v>
      </c>
      <c r="I892" s="28">
        <f>F892*AP892</f>
        <v>0</v>
      </c>
      <c r="J892" s="28">
        <f>F892*G892</f>
        <v>0</v>
      </c>
      <c r="K892" s="29" t="s">
        <v>1491</v>
      </c>
      <c r="Z892" s="28">
        <f>IF(AQ892="5",BJ892,0)</f>
        <v>0</v>
      </c>
      <c r="AB892" s="28">
        <f>IF(AQ892="1",BH892,0)</f>
        <v>0</v>
      </c>
      <c r="AC892" s="28">
        <f>IF(AQ892="1",BI892,0)</f>
        <v>0</v>
      </c>
      <c r="AD892" s="28">
        <f>IF(AQ892="7",BH892,0)</f>
        <v>0</v>
      </c>
      <c r="AE892" s="28">
        <f>IF(AQ892="7",BI892,0)</f>
        <v>0</v>
      </c>
      <c r="AF892" s="28">
        <f>IF(AQ892="2",BH892,0)</f>
        <v>0</v>
      </c>
      <c r="AG892" s="28">
        <f>IF(AQ892="2",BI892,0)</f>
        <v>0</v>
      </c>
      <c r="AH892" s="28">
        <f>IF(AQ892="0",BJ892,0)</f>
        <v>0</v>
      </c>
      <c r="AI892" s="10" t="s">
        <v>1547</v>
      </c>
      <c r="AJ892" s="28">
        <f>IF(AN892=0,J892,0)</f>
        <v>0</v>
      </c>
      <c r="AK892" s="28">
        <f>IF(AN892=12,J892,0)</f>
        <v>0</v>
      </c>
      <c r="AL892" s="28">
        <f>IF(AN892=21,J892,0)</f>
        <v>0</v>
      </c>
      <c r="AN892" s="28">
        <v>21</v>
      </c>
      <c r="AO892" s="28">
        <f>G892*0</f>
        <v>0</v>
      </c>
      <c r="AP892" s="28">
        <f>G892*(1-0)</f>
        <v>0</v>
      </c>
      <c r="AQ892" s="30" t="s">
        <v>57</v>
      </c>
      <c r="AV892" s="28">
        <f>AW892+AX892</f>
        <v>0</v>
      </c>
      <c r="AW892" s="28">
        <f>F892*AO892</f>
        <v>0</v>
      </c>
      <c r="AX892" s="28">
        <f>F892*AP892</f>
        <v>0</v>
      </c>
      <c r="AY892" s="30" t="s">
        <v>240</v>
      </c>
      <c r="AZ892" s="30" t="s">
        <v>1560</v>
      </c>
      <c r="BA892" s="10" t="s">
        <v>1553</v>
      </c>
      <c r="BC892" s="28">
        <f>AW892+AX892</f>
        <v>0</v>
      </c>
      <c r="BD892" s="28">
        <f>G892/(100-BE892)*100</f>
        <v>0</v>
      </c>
      <c r="BE892" s="28">
        <v>0</v>
      </c>
      <c r="BF892" s="28">
        <f>892</f>
        <v>892</v>
      </c>
      <c r="BH892" s="28">
        <f>F892*AO892</f>
        <v>0</v>
      </c>
      <c r="BI892" s="28">
        <f>F892*AP892</f>
        <v>0</v>
      </c>
      <c r="BJ892" s="28">
        <f>F892*G892</f>
        <v>0</v>
      </c>
      <c r="BK892" s="28"/>
      <c r="BL892" s="28">
        <v>13</v>
      </c>
      <c r="BW892" s="28">
        <v>21</v>
      </c>
    </row>
    <row r="893" spans="1:75" x14ac:dyDescent="0.25">
      <c r="A893" s="31"/>
      <c r="C893" s="32" t="s">
        <v>1577</v>
      </c>
      <c r="D893" s="32" t="s">
        <v>52</v>
      </c>
      <c r="F893" s="33">
        <v>44</v>
      </c>
      <c r="K893" s="34"/>
    </row>
    <row r="894" spans="1:75" ht="13.5" customHeight="1" x14ac:dyDescent="0.25">
      <c r="A894" s="2" t="s">
        <v>1578</v>
      </c>
      <c r="B894" s="3" t="s">
        <v>1579</v>
      </c>
      <c r="C894" s="83" t="s">
        <v>1580</v>
      </c>
      <c r="D894" s="80"/>
      <c r="E894" s="3" t="s">
        <v>60</v>
      </c>
      <c r="F894" s="28">
        <v>44</v>
      </c>
      <c r="G894" s="28">
        <v>0</v>
      </c>
      <c r="H894" s="28">
        <f>F894*AO894</f>
        <v>0</v>
      </c>
      <c r="I894" s="28">
        <f>F894*AP894</f>
        <v>0</v>
      </c>
      <c r="J894" s="28">
        <f>F894*G894</f>
        <v>0</v>
      </c>
      <c r="K894" s="29" t="s">
        <v>1491</v>
      </c>
      <c r="Z894" s="28">
        <f>IF(AQ894="5",BJ894,0)</f>
        <v>0</v>
      </c>
      <c r="AB894" s="28">
        <f>IF(AQ894="1",BH894,0)</f>
        <v>0</v>
      </c>
      <c r="AC894" s="28">
        <f>IF(AQ894="1",BI894,0)</f>
        <v>0</v>
      </c>
      <c r="AD894" s="28">
        <f>IF(AQ894="7",BH894,0)</f>
        <v>0</v>
      </c>
      <c r="AE894" s="28">
        <f>IF(AQ894="7",BI894,0)</f>
        <v>0</v>
      </c>
      <c r="AF894" s="28">
        <f>IF(AQ894="2",BH894,0)</f>
        <v>0</v>
      </c>
      <c r="AG894" s="28">
        <f>IF(AQ894="2",BI894,0)</f>
        <v>0</v>
      </c>
      <c r="AH894" s="28">
        <f>IF(AQ894="0",BJ894,0)</f>
        <v>0</v>
      </c>
      <c r="AI894" s="10" t="s">
        <v>1547</v>
      </c>
      <c r="AJ894" s="28">
        <f>IF(AN894=0,J894,0)</f>
        <v>0</v>
      </c>
      <c r="AK894" s="28">
        <f>IF(AN894=12,J894,0)</f>
        <v>0</v>
      </c>
      <c r="AL894" s="28">
        <f>IF(AN894=21,J894,0)</f>
        <v>0</v>
      </c>
      <c r="AN894" s="28">
        <v>21</v>
      </c>
      <c r="AO894" s="28">
        <f>G894*0</f>
        <v>0</v>
      </c>
      <c r="AP894" s="28">
        <f>G894*(1-0)</f>
        <v>0</v>
      </c>
      <c r="AQ894" s="30" t="s">
        <v>57</v>
      </c>
      <c r="AV894" s="28">
        <f>AW894+AX894</f>
        <v>0</v>
      </c>
      <c r="AW894" s="28">
        <f>F894*AO894</f>
        <v>0</v>
      </c>
      <c r="AX894" s="28">
        <f>F894*AP894</f>
        <v>0</v>
      </c>
      <c r="AY894" s="30" t="s">
        <v>240</v>
      </c>
      <c r="AZ894" s="30" t="s">
        <v>1560</v>
      </c>
      <c r="BA894" s="10" t="s">
        <v>1553</v>
      </c>
      <c r="BC894" s="28">
        <f>AW894+AX894</f>
        <v>0</v>
      </c>
      <c r="BD894" s="28">
        <f>G894/(100-BE894)*100</f>
        <v>0</v>
      </c>
      <c r="BE894" s="28">
        <v>0</v>
      </c>
      <c r="BF894" s="28">
        <f>894</f>
        <v>894</v>
      </c>
      <c r="BH894" s="28">
        <f>F894*AO894</f>
        <v>0</v>
      </c>
      <c r="BI894" s="28">
        <f>F894*AP894</f>
        <v>0</v>
      </c>
      <c r="BJ894" s="28">
        <f>F894*G894</f>
        <v>0</v>
      </c>
      <c r="BK894" s="28"/>
      <c r="BL894" s="28">
        <v>13</v>
      </c>
      <c r="BW894" s="28">
        <v>21</v>
      </c>
    </row>
    <row r="895" spans="1:75" x14ac:dyDescent="0.25">
      <c r="A895" s="31"/>
      <c r="C895" s="32" t="s">
        <v>1577</v>
      </c>
      <c r="D895" s="32" t="s">
        <v>52</v>
      </c>
      <c r="F895" s="33">
        <v>44</v>
      </c>
      <c r="K895" s="34"/>
    </row>
    <row r="896" spans="1:75" x14ac:dyDescent="0.25">
      <c r="A896" s="24" t="s">
        <v>52</v>
      </c>
      <c r="B896" s="25" t="s">
        <v>54</v>
      </c>
      <c r="C896" s="139" t="s">
        <v>55</v>
      </c>
      <c r="D896" s="140"/>
      <c r="E896" s="26" t="s">
        <v>4</v>
      </c>
      <c r="F896" s="26" t="s">
        <v>4</v>
      </c>
      <c r="G896" s="26" t="s">
        <v>4</v>
      </c>
      <c r="H896" s="1">
        <f>SUM(H897:H902)</f>
        <v>0</v>
      </c>
      <c r="I896" s="1">
        <f>SUM(I897:I902)</f>
        <v>0</v>
      </c>
      <c r="J896" s="1">
        <f>SUM(J897:J902)</f>
        <v>0</v>
      </c>
      <c r="K896" s="27" t="s">
        <v>52</v>
      </c>
      <c r="AI896" s="10" t="s">
        <v>1547</v>
      </c>
      <c r="AS896" s="1">
        <f>SUM(AJ897:AJ902)</f>
        <v>0</v>
      </c>
      <c r="AT896" s="1">
        <f>SUM(AK897:AK902)</f>
        <v>0</v>
      </c>
      <c r="AU896" s="1">
        <f>SUM(AL897:AL902)</f>
        <v>0</v>
      </c>
    </row>
    <row r="897" spans="1:75" ht="13.5" customHeight="1" x14ac:dyDescent="0.25">
      <c r="A897" s="2" t="s">
        <v>1581</v>
      </c>
      <c r="B897" s="3" t="s">
        <v>1582</v>
      </c>
      <c r="C897" s="83" t="s">
        <v>1583</v>
      </c>
      <c r="D897" s="80"/>
      <c r="E897" s="3" t="s">
        <v>60</v>
      </c>
      <c r="F897" s="28">
        <v>34.56</v>
      </c>
      <c r="G897" s="28">
        <v>0</v>
      </c>
      <c r="H897" s="28">
        <f>F897*AO897</f>
        <v>0</v>
      </c>
      <c r="I897" s="28">
        <f>F897*AP897</f>
        <v>0</v>
      </c>
      <c r="J897" s="28">
        <f>F897*G897</f>
        <v>0</v>
      </c>
      <c r="K897" s="29" t="s">
        <v>1491</v>
      </c>
      <c r="Z897" s="28">
        <f>IF(AQ897="5",BJ897,0)</f>
        <v>0</v>
      </c>
      <c r="AB897" s="28">
        <f>IF(AQ897="1",BH897,0)</f>
        <v>0</v>
      </c>
      <c r="AC897" s="28">
        <f>IF(AQ897="1",BI897,0)</f>
        <v>0</v>
      </c>
      <c r="AD897" s="28">
        <f>IF(AQ897="7",BH897,0)</f>
        <v>0</v>
      </c>
      <c r="AE897" s="28">
        <f>IF(AQ897="7",BI897,0)</f>
        <v>0</v>
      </c>
      <c r="AF897" s="28">
        <f>IF(AQ897="2",BH897,0)</f>
        <v>0</v>
      </c>
      <c r="AG897" s="28">
        <f>IF(AQ897="2",BI897,0)</f>
        <v>0</v>
      </c>
      <c r="AH897" s="28">
        <f>IF(AQ897="0",BJ897,0)</f>
        <v>0</v>
      </c>
      <c r="AI897" s="10" t="s">
        <v>1547</v>
      </c>
      <c r="AJ897" s="28">
        <f>IF(AN897=0,J897,0)</f>
        <v>0</v>
      </c>
      <c r="AK897" s="28">
        <f>IF(AN897=12,J897,0)</f>
        <v>0</v>
      </c>
      <c r="AL897" s="28">
        <f>IF(AN897=21,J897,0)</f>
        <v>0</v>
      </c>
      <c r="AN897" s="28">
        <v>21</v>
      </c>
      <c r="AO897" s="28">
        <f>G897*0.503380712</f>
        <v>0</v>
      </c>
      <c r="AP897" s="28">
        <f>G897*(1-0.503380712)</f>
        <v>0</v>
      </c>
      <c r="AQ897" s="30" t="s">
        <v>57</v>
      </c>
      <c r="AV897" s="28">
        <f>AW897+AX897</f>
        <v>0</v>
      </c>
      <c r="AW897" s="28">
        <f>F897*AO897</f>
        <v>0</v>
      </c>
      <c r="AX897" s="28">
        <f>F897*AP897</f>
        <v>0</v>
      </c>
      <c r="AY897" s="30" t="s">
        <v>62</v>
      </c>
      <c r="AZ897" s="30" t="s">
        <v>1560</v>
      </c>
      <c r="BA897" s="10" t="s">
        <v>1553</v>
      </c>
      <c r="BC897" s="28">
        <f>AW897+AX897</f>
        <v>0</v>
      </c>
      <c r="BD897" s="28">
        <f>G897/(100-BE897)*100</f>
        <v>0</v>
      </c>
      <c r="BE897" s="28">
        <v>0</v>
      </c>
      <c r="BF897" s="28">
        <f>897</f>
        <v>897</v>
      </c>
      <c r="BH897" s="28">
        <f>F897*AO897</f>
        <v>0</v>
      </c>
      <c r="BI897" s="28">
        <f>F897*AP897</f>
        <v>0</v>
      </c>
      <c r="BJ897" s="28">
        <f>F897*G897</f>
        <v>0</v>
      </c>
      <c r="BK897" s="28"/>
      <c r="BL897" s="28">
        <v>17</v>
      </c>
      <c r="BW897" s="28">
        <v>21</v>
      </c>
    </row>
    <row r="898" spans="1:75" x14ac:dyDescent="0.25">
      <c r="A898" s="31"/>
      <c r="C898" s="32" t="s">
        <v>1584</v>
      </c>
      <c r="D898" s="32" t="s">
        <v>1585</v>
      </c>
      <c r="F898" s="33">
        <v>34.56</v>
      </c>
      <c r="K898" s="34"/>
    </row>
    <row r="899" spans="1:75" ht="13.5" customHeight="1" x14ac:dyDescent="0.25">
      <c r="A899" s="2" t="s">
        <v>1586</v>
      </c>
      <c r="B899" s="3" t="s">
        <v>1587</v>
      </c>
      <c r="C899" s="83" t="s">
        <v>1588</v>
      </c>
      <c r="D899" s="80"/>
      <c r="E899" s="3" t="s">
        <v>60</v>
      </c>
      <c r="F899" s="28">
        <v>38.200000000000003</v>
      </c>
      <c r="G899" s="28">
        <v>0</v>
      </c>
      <c r="H899" s="28">
        <f>F899*AO899</f>
        <v>0</v>
      </c>
      <c r="I899" s="28">
        <f>F899*AP899</f>
        <v>0</v>
      </c>
      <c r="J899" s="28">
        <f>F899*G899</f>
        <v>0</v>
      </c>
      <c r="K899" s="29" t="s">
        <v>1491</v>
      </c>
      <c r="Z899" s="28">
        <f>IF(AQ899="5",BJ899,0)</f>
        <v>0</v>
      </c>
      <c r="AB899" s="28">
        <f>IF(AQ899="1",BH899,0)</f>
        <v>0</v>
      </c>
      <c r="AC899" s="28">
        <f>IF(AQ899="1",BI899,0)</f>
        <v>0</v>
      </c>
      <c r="AD899" s="28">
        <f>IF(AQ899="7",BH899,0)</f>
        <v>0</v>
      </c>
      <c r="AE899" s="28">
        <f>IF(AQ899="7",BI899,0)</f>
        <v>0</v>
      </c>
      <c r="AF899" s="28">
        <f>IF(AQ899="2",BH899,0)</f>
        <v>0</v>
      </c>
      <c r="AG899" s="28">
        <f>IF(AQ899="2",BI899,0)</f>
        <v>0</v>
      </c>
      <c r="AH899" s="28">
        <f>IF(AQ899="0",BJ899,0)</f>
        <v>0</v>
      </c>
      <c r="AI899" s="10" t="s">
        <v>1547</v>
      </c>
      <c r="AJ899" s="28">
        <f>IF(AN899=0,J899,0)</f>
        <v>0</v>
      </c>
      <c r="AK899" s="28">
        <f>IF(AN899=12,J899,0)</f>
        <v>0</v>
      </c>
      <c r="AL899" s="28">
        <f>IF(AN899=21,J899,0)</f>
        <v>0</v>
      </c>
      <c r="AN899" s="28">
        <v>21</v>
      </c>
      <c r="AO899" s="28">
        <f>G899*0.686331776</f>
        <v>0</v>
      </c>
      <c r="AP899" s="28">
        <f>G899*(1-0.686331776)</f>
        <v>0</v>
      </c>
      <c r="AQ899" s="30" t="s">
        <v>57</v>
      </c>
      <c r="AV899" s="28">
        <f>AW899+AX899</f>
        <v>0</v>
      </c>
      <c r="AW899" s="28">
        <f>F899*AO899</f>
        <v>0</v>
      </c>
      <c r="AX899" s="28">
        <f>F899*AP899</f>
        <v>0</v>
      </c>
      <c r="AY899" s="30" t="s">
        <v>62</v>
      </c>
      <c r="AZ899" s="30" t="s">
        <v>1560</v>
      </c>
      <c r="BA899" s="10" t="s">
        <v>1553</v>
      </c>
      <c r="BC899" s="28">
        <f>AW899+AX899</f>
        <v>0</v>
      </c>
      <c r="BD899" s="28">
        <f>G899/(100-BE899)*100</f>
        <v>0</v>
      </c>
      <c r="BE899" s="28">
        <v>0</v>
      </c>
      <c r="BF899" s="28">
        <f>899</f>
        <v>899</v>
      </c>
      <c r="BH899" s="28">
        <f>F899*AO899</f>
        <v>0</v>
      </c>
      <c r="BI899" s="28">
        <f>F899*AP899</f>
        <v>0</v>
      </c>
      <c r="BJ899" s="28">
        <f>F899*G899</f>
        <v>0</v>
      </c>
      <c r="BK899" s="28"/>
      <c r="BL899" s="28">
        <v>17</v>
      </c>
      <c r="BW899" s="28">
        <v>21</v>
      </c>
    </row>
    <row r="900" spans="1:75" x14ac:dyDescent="0.25">
      <c r="A900" s="31"/>
      <c r="C900" s="32" t="s">
        <v>1589</v>
      </c>
      <c r="D900" s="32" t="s">
        <v>1590</v>
      </c>
      <c r="F900" s="33">
        <v>37.5</v>
      </c>
      <c r="K900" s="34"/>
    </row>
    <row r="901" spans="1:75" x14ac:dyDescent="0.25">
      <c r="A901" s="31"/>
      <c r="C901" s="32" t="s">
        <v>1591</v>
      </c>
      <c r="D901" s="32" t="s">
        <v>1592</v>
      </c>
      <c r="F901" s="33">
        <v>0.7</v>
      </c>
      <c r="K901" s="34"/>
    </row>
    <row r="902" spans="1:75" ht="13.5" customHeight="1" x14ac:dyDescent="0.25">
      <c r="A902" s="2" t="s">
        <v>1593</v>
      </c>
      <c r="B902" s="3" t="s">
        <v>1594</v>
      </c>
      <c r="C902" s="83" t="s">
        <v>1595</v>
      </c>
      <c r="D902" s="80"/>
      <c r="E902" s="3" t="s">
        <v>71</v>
      </c>
      <c r="F902" s="28">
        <v>68.760000000000005</v>
      </c>
      <c r="G902" s="28">
        <v>0</v>
      </c>
      <c r="H902" s="28">
        <f>F902*AO902</f>
        <v>0</v>
      </c>
      <c r="I902" s="28">
        <f>F902*AP902</f>
        <v>0</v>
      </c>
      <c r="J902" s="28">
        <f>F902*G902</f>
        <v>0</v>
      </c>
      <c r="K902" s="29" t="s">
        <v>1491</v>
      </c>
      <c r="Z902" s="28">
        <f>IF(AQ902="5",BJ902,0)</f>
        <v>0</v>
      </c>
      <c r="AB902" s="28">
        <f>IF(AQ902="1",BH902,0)</f>
        <v>0</v>
      </c>
      <c r="AC902" s="28">
        <f>IF(AQ902="1",BI902,0)</f>
        <v>0</v>
      </c>
      <c r="AD902" s="28">
        <f>IF(AQ902="7",BH902,0)</f>
        <v>0</v>
      </c>
      <c r="AE902" s="28">
        <f>IF(AQ902="7",BI902,0)</f>
        <v>0</v>
      </c>
      <c r="AF902" s="28">
        <f>IF(AQ902="2",BH902,0)</f>
        <v>0</v>
      </c>
      <c r="AG902" s="28">
        <f>IF(AQ902="2",BI902,0)</f>
        <v>0</v>
      </c>
      <c r="AH902" s="28">
        <f>IF(AQ902="0",BJ902,0)</f>
        <v>0</v>
      </c>
      <c r="AI902" s="10" t="s">
        <v>1547</v>
      </c>
      <c r="AJ902" s="28">
        <f>IF(AN902=0,J902,0)</f>
        <v>0</v>
      </c>
      <c r="AK902" s="28">
        <f>IF(AN902=12,J902,0)</f>
        <v>0</v>
      </c>
      <c r="AL902" s="28">
        <f>IF(AN902=21,J902,0)</f>
        <v>0</v>
      </c>
      <c r="AN902" s="28">
        <v>21</v>
      </c>
      <c r="AO902" s="28">
        <f>G902*1</f>
        <v>0</v>
      </c>
      <c r="AP902" s="28">
        <f>G902*(1-1)</f>
        <v>0</v>
      </c>
      <c r="AQ902" s="30" t="s">
        <v>57</v>
      </c>
      <c r="AV902" s="28">
        <f>AW902+AX902</f>
        <v>0</v>
      </c>
      <c r="AW902" s="28">
        <f>F902*AO902</f>
        <v>0</v>
      </c>
      <c r="AX902" s="28">
        <f>F902*AP902</f>
        <v>0</v>
      </c>
      <c r="AY902" s="30" t="s">
        <v>62</v>
      </c>
      <c r="AZ902" s="30" t="s">
        <v>1560</v>
      </c>
      <c r="BA902" s="10" t="s">
        <v>1553</v>
      </c>
      <c r="BC902" s="28">
        <f>AW902+AX902</f>
        <v>0</v>
      </c>
      <c r="BD902" s="28">
        <f>G902/(100-BE902)*100</f>
        <v>0</v>
      </c>
      <c r="BE902" s="28">
        <v>0</v>
      </c>
      <c r="BF902" s="28">
        <f>902</f>
        <v>902</v>
      </c>
      <c r="BH902" s="28">
        <f>F902*AO902</f>
        <v>0</v>
      </c>
      <c r="BI902" s="28">
        <f>F902*AP902</f>
        <v>0</v>
      </c>
      <c r="BJ902" s="28">
        <f>F902*G902</f>
        <v>0</v>
      </c>
      <c r="BK902" s="28"/>
      <c r="BL902" s="28">
        <v>17</v>
      </c>
      <c r="BW902" s="28">
        <v>21</v>
      </c>
    </row>
    <row r="903" spans="1:75" x14ac:dyDescent="0.25">
      <c r="A903" s="31"/>
      <c r="C903" s="32" t="s">
        <v>1596</v>
      </c>
      <c r="D903" s="32" t="s">
        <v>52</v>
      </c>
      <c r="F903" s="33">
        <v>68.760000000000005</v>
      </c>
      <c r="K903" s="34"/>
    </row>
    <row r="904" spans="1:75" x14ac:dyDescent="0.25">
      <c r="A904" s="24" t="s">
        <v>52</v>
      </c>
      <c r="B904" s="25" t="s">
        <v>1597</v>
      </c>
      <c r="C904" s="139" t="s">
        <v>1598</v>
      </c>
      <c r="D904" s="140"/>
      <c r="E904" s="26" t="s">
        <v>4</v>
      </c>
      <c r="F904" s="26" t="s">
        <v>4</v>
      </c>
      <c r="G904" s="26" t="s">
        <v>4</v>
      </c>
      <c r="H904" s="1">
        <f>SUM(H905:H905)</f>
        <v>0</v>
      </c>
      <c r="I904" s="1">
        <f>SUM(I905:I905)</f>
        <v>0</v>
      </c>
      <c r="J904" s="1">
        <f>SUM(J905:J905)</f>
        <v>0</v>
      </c>
      <c r="K904" s="27" t="s">
        <v>52</v>
      </c>
      <c r="AI904" s="10" t="s">
        <v>1547</v>
      </c>
      <c r="AS904" s="1">
        <f>SUM(AJ905:AJ905)</f>
        <v>0</v>
      </c>
      <c r="AT904" s="1">
        <f>SUM(AK905:AK905)</f>
        <v>0</v>
      </c>
      <c r="AU904" s="1">
        <f>SUM(AL905:AL905)</f>
        <v>0</v>
      </c>
    </row>
    <row r="905" spans="1:75" ht="13.5" customHeight="1" x14ac:dyDescent="0.25">
      <c r="A905" s="2" t="s">
        <v>1599</v>
      </c>
      <c r="B905" s="3" t="s">
        <v>1600</v>
      </c>
      <c r="C905" s="83" t="s">
        <v>1601</v>
      </c>
      <c r="D905" s="80"/>
      <c r="E905" s="3" t="s">
        <v>1430</v>
      </c>
      <c r="F905" s="28">
        <v>10</v>
      </c>
      <c r="G905" s="28">
        <v>0</v>
      </c>
      <c r="H905" s="28">
        <f>F905*AO905</f>
        <v>0</v>
      </c>
      <c r="I905" s="28">
        <f>F905*AP905</f>
        <v>0</v>
      </c>
      <c r="J905" s="28">
        <f>F905*G905</f>
        <v>0</v>
      </c>
      <c r="K905" s="29" t="s">
        <v>1602</v>
      </c>
      <c r="Z905" s="28">
        <f>IF(AQ905="5",BJ905,0)</f>
        <v>0</v>
      </c>
      <c r="AB905" s="28">
        <f>IF(AQ905="1",BH905,0)</f>
        <v>0</v>
      </c>
      <c r="AC905" s="28">
        <f>IF(AQ905="1",BI905,0)</f>
        <v>0</v>
      </c>
      <c r="AD905" s="28">
        <f>IF(AQ905="7",BH905,0)</f>
        <v>0</v>
      </c>
      <c r="AE905" s="28">
        <f>IF(AQ905="7",BI905,0)</f>
        <v>0</v>
      </c>
      <c r="AF905" s="28">
        <f>IF(AQ905="2",BH905,0)</f>
        <v>0</v>
      </c>
      <c r="AG905" s="28">
        <f>IF(AQ905="2",BI905,0)</f>
        <v>0</v>
      </c>
      <c r="AH905" s="28">
        <f>IF(AQ905="0",BJ905,0)</f>
        <v>0</v>
      </c>
      <c r="AI905" s="10" t="s">
        <v>1547</v>
      </c>
      <c r="AJ905" s="28">
        <f>IF(AN905=0,J905,0)</f>
        <v>0</v>
      </c>
      <c r="AK905" s="28">
        <f>IF(AN905=12,J905,0)</f>
        <v>0</v>
      </c>
      <c r="AL905" s="28">
        <f>IF(AN905=21,J905,0)</f>
        <v>0</v>
      </c>
      <c r="AN905" s="28">
        <v>21</v>
      </c>
      <c r="AO905" s="28">
        <f>G905*0</f>
        <v>0</v>
      </c>
      <c r="AP905" s="28">
        <f>G905*(1-0)</f>
        <v>0</v>
      </c>
      <c r="AQ905" s="30" t="s">
        <v>57</v>
      </c>
      <c r="AV905" s="28">
        <f>AW905+AX905</f>
        <v>0</v>
      </c>
      <c r="AW905" s="28">
        <f>F905*AO905</f>
        <v>0</v>
      </c>
      <c r="AX905" s="28">
        <f>F905*AP905</f>
        <v>0</v>
      </c>
      <c r="AY905" s="30" t="s">
        <v>1603</v>
      </c>
      <c r="AZ905" s="30" t="s">
        <v>1604</v>
      </c>
      <c r="BA905" s="10" t="s">
        <v>1553</v>
      </c>
      <c r="BC905" s="28">
        <f>AW905+AX905</f>
        <v>0</v>
      </c>
      <c r="BD905" s="28">
        <f>G905/(100-BE905)*100</f>
        <v>0</v>
      </c>
      <c r="BE905" s="28">
        <v>0</v>
      </c>
      <c r="BF905" s="28">
        <f>905</f>
        <v>905</v>
      </c>
      <c r="BH905" s="28">
        <f>F905*AO905</f>
        <v>0</v>
      </c>
      <c r="BI905" s="28">
        <f>F905*AP905</f>
        <v>0</v>
      </c>
      <c r="BJ905" s="28">
        <f>F905*G905</f>
        <v>0</v>
      </c>
      <c r="BK905" s="28"/>
      <c r="BL905" s="28"/>
      <c r="BW905" s="28">
        <v>21</v>
      </c>
    </row>
    <row r="906" spans="1:75" x14ac:dyDescent="0.25">
      <c r="A906" s="31"/>
      <c r="C906" s="32" t="s">
        <v>115</v>
      </c>
      <c r="D906" s="32" t="s">
        <v>52</v>
      </c>
      <c r="F906" s="33">
        <v>10</v>
      </c>
      <c r="K906" s="34"/>
    </row>
    <row r="907" spans="1:75" x14ac:dyDescent="0.25">
      <c r="A907" s="24" t="s">
        <v>52</v>
      </c>
      <c r="B907" s="25" t="s">
        <v>140</v>
      </c>
      <c r="C907" s="139" t="s">
        <v>1605</v>
      </c>
      <c r="D907" s="140"/>
      <c r="E907" s="26" t="s">
        <v>4</v>
      </c>
      <c r="F907" s="26" t="s">
        <v>4</v>
      </c>
      <c r="G907" s="26" t="s">
        <v>4</v>
      </c>
      <c r="H907" s="1">
        <f>SUM(H908:H911)</f>
        <v>0</v>
      </c>
      <c r="I907" s="1">
        <f>SUM(I908:I911)</f>
        <v>0</v>
      </c>
      <c r="J907" s="1">
        <f>SUM(J908:J911)</f>
        <v>0</v>
      </c>
      <c r="K907" s="27" t="s">
        <v>52</v>
      </c>
      <c r="AI907" s="10" t="s">
        <v>1547</v>
      </c>
      <c r="AS907" s="1">
        <f>SUM(AJ908:AJ911)</f>
        <v>0</v>
      </c>
      <c r="AT907" s="1">
        <f>SUM(AK908:AK911)</f>
        <v>0</v>
      </c>
      <c r="AU907" s="1">
        <f>SUM(AL908:AL911)</f>
        <v>0</v>
      </c>
    </row>
    <row r="908" spans="1:75" ht="13.5" customHeight="1" x14ac:dyDescent="0.25">
      <c r="A908" s="2" t="s">
        <v>1606</v>
      </c>
      <c r="B908" s="3" t="s">
        <v>1607</v>
      </c>
      <c r="C908" s="83" t="s">
        <v>1608</v>
      </c>
      <c r="D908" s="80"/>
      <c r="E908" s="3" t="s">
        <v>148</v>
      </c>
      <c r="F908" s="28">
        <v>189.5</v>
      </c>
      <c r="G908" s="28">
        <v>0</v>
      </c>
      <c r="H908" s="28">
        <f>F908*AO908</f>
        <v>0</v>
      </c>
      <c r="I908" s="28">
        <f>F908*AP908</f>
        <v>0</v>
      </c>
      <c r="J908" s="28">
        <f>F908*G908</f>
        <v>0</v>
      </c>
      <c r="K908" s="29" t="s">
        <v>1491</v>
      </c>
      <c r="Z908" s="28">
        <f>IF(AQ908="5",BJ908,0)</f>
        <v>0</v>
      </c>
      <c r="AB908" s="28">
        <f>IF(AQ908="1",BH908,0)</f>
        <v>0</v>
      </c>
      <c r="AC908" s="28">
        <f>IF(AQ908="1",BI908,0)</f>
        <v>0</v>
      </c>
      <c r="AD908" s="28">
        <f>IF(AQ908="7",BH908,0)</f>
        <v>0</v>
      </c>
      <c r="AE908" s="28">
        <f>IF(AQ908="7",BI908,0)</f>
        <v>0</v>
      </c>
      <c r="AF908" s="28">
        <f>IF(AQ908="2",BH908,0)</f>
        <v>0</v>
      </c>
      <c r="AG908" s="28">
        <f>IF(AQ908="2",BI908,0)</f>
        <v>0</v>
      </c>
      <c r="AH908" s="28">
        <f>IF(AQ908="0",BJ908,0)</f>
        <v>0</v>
      </c>
      <c r="AI908" s="10" t="s">
        <v>1547</v>
      </c>
      <c r="AJ908" s="28">
        <f>IF(AN908=0,J908,0)</f>
        <v>0</v>
      </c>
      <c r="AK908" s="28">
        <f>IF(AN908=12,J908,0)</f>
        <v>0</v>
      </c>
      <c r="AL908" s="28">
        <f>IF(AN908=21,J908,0)</f>
        <v>0</v>
      </c>
      <c r="AN908" s="28">
        <v>21</v>
      </c>
      <c r="AO908" s="28">
        <f>G908*0.093221477</f>
        <v>0</v>
      </c>
      <c r="AP908" s="28">
        <f>G908*(1-0.093221477)</f>
        <v>0</v>
      </c>
      <c r="AQ908" s="30" t="s">
        <v>57</v>
      </c>
      <c r="AV908" s="28">
        <f>AW908+AX908</f>
        <v>0</v>
      </c>
      <c r="AW908" s="28">
        <f>F908*AO908</f>
        <v>0</v>
      </c>
      <c r="AX908" s="28">
        <f>F908*AP908</f>
        <v>0</v>
      </c>
      <c r="AY908" s="30" t="s">
        <v>1609</v>
      </c>
      <c r="AZ908" s="30" t="s">
        <v>1560</v>
      </c>
      <c r="BA908" s="10" t="s">
        <v>1553</v>
      </c>
      <c r="BC908" s="28">
        <f>AW908+AX908</f>
        <v>0</v>
      </c>
      <c r="BD908" s="28">
        <f>G908/(100-BE908)*100</f>
        <v>0</v>
      </c>
      <c r="BE908" s="28">
        <v>0</v>
      </c>
      <c r="BF908" s="28">
        <f>908</f>
        <v>908</v>
      </c>
      <c r="BH908" s="28">
        <f>F908*AO908</f>
        <v>0</v>
      </c>
      <c r="BI908" s="28">
        <f>F908*AP908</f>
        <v>0</v>
      </c>
      <c r="BJ908" s="28">
        <f>F908*G908</f>
        <v>0</v>
      </c>
      <c r="BK908" s="28"/>
      <c r="BL908" s="28">
        <v>15</v>
      </c>
      <c r="BW908" s="28">
        <v>21</v>
      </c>
    </row>
    <row r="909" spans="1:75" x14ac:dyDescent="0.25">
      <c r="A909" s="31"/>
      <c r="C909" s="32" t="s">
        <v>1610</v>
      </c>
      <c r="D909" s="32" t="s">
        <v>1611</v>
      </c>
      <c r="F909" s="33">
        <v>59.4</v>
      </c>
      <c r="K909" s="34"/>
    </row>
    <row r="910" spans="1:75" x14ac:dyDescent="0.25">
      <c r="A910" s="31"/>
      <c r="C910" s="32" t="s">
        <v>1612</v>
      </c>
      <c r="D910" s="32" t="s">
        <v>1613</v>
      </c>
      <c r="F910" s="33">
        <v>130.1</v>
      </c>
      <c r="K910" s="34"/>
    </row>
    <row r="911" spans="1:75" ht="13.5" customHeight="1" x14ac:dyDescent="0.25">
      <c r="A911" s="2" t="s">
        <v>1614</v>
      </c>
      <c r="B911" s="3" t="s">
        <v>1615</v>
      </c>
      <c r="C911" s="83" t="s">
        <v>1616</v>
      </c>
      <c r="D911" s="80"/>
      <c r="E911" s="3" t="s">
        <v>148</v>
      </c>
      <c r="F911" s="28">
        <v>189.5</v>
      </c>
      <c r="G911" s="28">
        <v>0</v>
      </c>
      <c r="H911" s="28">
        <f>F911*AO911</f>
        <v>0</v>
      </c>
      <c r="I911" s="28">
        <f>F911*AP911</f>
        <v>0</v>
      </c>
      <c r="J911" s="28">
        <f>F911*G911</f>
        <v>0</v>
      </c>
      <c r="K911" s="29" t="s">
        <v>1491</v>
      </c>
      <c r="Z911" s="28">
        <f>IF(AQ911="5",BJ911,0)</f>
        <v>0</v>
      </c>
      <c r="AB911" s="28">
        <f>IF(AQ911="1",BH911,0)</f>
        <v>0</v>
      </c>
      <c r="AC911" s="28">
        <f>IF(AQ911="1",BI911,0)</f>
        <v>0</v>
      </c>
      <c r="AD911" s="28">
        <f>IF(AQ911="7",BH911,0)</f>
        <v>0</v>
      </c>
      <c r="AE911" s="28">
        <f>IF(AQ911="7",BI911,0)</f>
        <v>0</v>
      </c>
      <c r="AF911" s="28">
        <f>IF(AQ911="2",BH911,0)</f>
        <v>0</v>
      </c>
      <c r="AG911" s="28">
        <f>IF(AQ911="2",BI911,0)</f>
        <v>0</v>
      </c>
      <c r="AH911" s="28">
        <f>IF(AQ911="0",BJ911,0)</f>
        <v>0</v>
      </c>
      <c r="AI911" s="10" t="s">
        <v>1547</v>
      </c>
      <c r="AJ911" s="28">
        <f>IF(AN911=0,J911,0)</f>
        <v>0</v>
      </c>
      <c r="AK911" s="28">
        <f>IF(AN911=12,J911,0)</f>
        <v>0</v>
      </c>
      <c r="AL911" s="28">
        <f>IF(AN911=21,J911,0)</f>
        <v>0</v>
      </c>
      <c r="AN911" s="28">
        <v>21</v>
      </c>
      <c r="AO911" s="28">
        <f>G911*0</f>
        <v>0</v>
      </c>
      <c r="AP911" s="28">
        <f>G911*(1-0)</f>
        <v>0</v>
      </c>
      <c r="AQ911" s="30" t="s">
        <v>57</v>
      </c>
      <c r="AV911" s="28">
        <f>AW911+AX911</f>
        <v>0</v>
      </c>
      <c r="AW911" s="28">
        <f>F911*AO911</f>
        <v>0</v>
      </c>
      <c r="AX911" s="28">
        <f>F911*AP911</f>
        <v>0</v>
      </c>
      <c r="AY911" s="30" t="s">
        <v>1609</v>
      </c>
      <c r="AZ911" s="30" t="s">
        <v>1560</v>
      </c>
      <c r="BA911" s="10" t="s">
        <v>1553</v>
      </c>
      <c r="BC911" s="28">
        <f>AW911+AX911</f>
        <v>0</v>
      </c>
      <c r="BD911" s="28">
        <f>G911/(100-BE911)*100</f>
        <v>0</v>
      </c>
      <c r="BE911" s="28">
        <v>0</v>
      </c>
      <c r="BF911" s="28">
        <f>911</f>
        <v>911</v>
      </c>
      <c r="BH911" s="28">
        <f>F911*AO911</f>
        <v>0</v>
      </c>
      <c r="BI911" s="28">
        <f>F911*AP911</f>
        <v>0</v>
      </c>
      <c r="BJ911" s="28">
        <f>F911*G911</f>
        <v>0</v>
      </c>
      <c r="BK911" s="28"/>
      <c r="BL911" s="28">
        <v>15</v>
      </c>
      <c r="BW911" s="28">
        <v>21</v>
      </c>
    </row>
    <row r="912" spans="1:75" x14ac:dyDescent="0.25">
      <c r="A912" s="31"/>
      <c r="C912" s="32" t="s">
        <v>1617</v>
      </c>
      <c r="D912" s="32" t="s">
        <v>52</v>
      </c>
      <c r="F912" s="33">
        <v>189.5</v>
      </c>
      <c r="K912" s="34"/>
    </row>
    <row r="913" spans="1:75" x14ac:dyDescent="0.25">
      <c r="A913" s="24" t="s">
        <v>52</v>
      </c>
      <c r="B913" s="25" t="s">
        <v>132</v>
      </c>
      <c r="C913" s="139" t="s">
        <v>133</v>
      </c>
      <c r="D913" s="140"/>
      <c r="E913" s="26" t="s">
        <v>4</v>
      </c>
      <c r="F913" s="26" t="s">
        <v>4</v>
      </c>
      <c r="G913" s="26" t="s">
        <v>4</v>
      </c>
      <c r="H913" s="1">
        <f>SUM(H914:H935)</f>
        <v>0</v>
      </c>
      <c r="I913" s="1">
        <f>SUM(I914:I935)</f>
        <v>0</v>
      </c>
      <c r="J913" s="1">
        <f>SUM(J914:J935)</f>
        <v>0</v>
      </c>
      <c r="K913" s="27" t="s">
        <v>52</v>
      </c>
      <c r="AI913" s="10" t="s">
        <v>1547</v>
      </c>
      <c r="AS913" s="1">
        <f>SUM(AJ914:AJ935)</f>
        <v>0</v>
      </c>
      <c r="AT913" s="1">
        <f>SUM(AK914:AK935)</f>
        <v>0</v>
      </c>
      <c r="AU913" s="1">
        <f>SUM(AL914:AL935)</f>
        <v>0</v>
      </c>
    </row>
    <row r="914" spans="1:75" ht="13.5" customHeight="1" x14ac:dyDescent="0.25">
      <c r="A914" s="2" t="s">
        <v>1618</v>
      </c>
      <c r="B914" s="3" t="s">
        <v>1619</v>
      </c>
      <c r="C914" s="83" t="s">
        <v>1620</v>
      </c>
      <c r="D914" s="80"/>
      <c r="E914" s="3" t="s">
        <v>78</v>
      </c>
      <c r="F914" s="28">
        <v>0.88</v>
      </c>
      <c r="G914" s="28">
        <v>0</v>
      </c>
      <c r="H914" s="28">
        <f>F914*AO914</f>
        <v>0</v>
      </c>
      <c r="I914" s="28">
        <f>F914*AP914</f>
        <v>0</v>
      </c>
      <c r="J914" s="28">
        <f>F914*G914</f>
        <v>0</v>
      </c>
      <c r="K914" s="29" t="s">
        <v>1602</v>
      </c>
      <c r="Z914" s="28">
        <f>IF(AQ914="5",BJ914,0)</f>
        <v>0</v>
      </c>
      <c r="AB914" s="28">
        <f>IF(AQ914="1",BH914,0)</f>
        <v>0</v>
      </c>
      <c r="AC914" s="28">
        <f>IF(AQ914="1",BI914,0)</f>
        <v>0</v>
      </c>
      <c r="AD914" s="28">
        <f>IF(AQ914="7",BH914,0)</f>
        <v>0</v>
      </c>
      <c r="AE914" s="28">
        <f>IF(AQ914="7",BI914,0)</f>
        <v>0</v>
      </c>
      <c r="AF914" s="28">
        <f>IF(AQ914="2",BH914,0)</f>
        <v>0</v>
      </c>
      <c r="AG914" s="28">
        <f>IF(AQ914="2",BI914,0)</f>
        <v>0</v>
      </c>
      <c r="AH914" s="28">
        <f>IF(AQ914="0",BJ914,0)</f>
        <v>0</v>
      </c>
      <c r="AI914" s="10" t="s">
        <v>1547</v>
      </c>
      <c r="AJ914" s="28">
        <f>IF(AN914=0,J914,0)</f>
        <v>0</v>
      </c>
      <c r="AK914" s="28">
        <f>IF(AN914=12,J914,0)</f>
        <v>0</v>
      </c>
      <c r="AL914" s="28">
        <f>IF(AN914=21,J914,0)</f>
        <v>0</v>
      </c>
      <c r="AN914" s="28">
        <v>21</v>
      </c>
      <c r="AO914" s="28">
        <f>G914*0.340796646</f>
        <v>0</v>
      </c>
      <c r="AP914" s="28">
        <f>G914*(1-0.340796646)</f>
        <v>0</v>
      </c>
      <c r="AQ914" s="30" t="s">
        <v>98</v>
      </c>
      <c r="AV914" s="28">
        <f>AW914+AX914</f>
        <v>0</v>
      </c>
      <c r="AW914" s="28">
        <f>F914*AO914</f>
        <v>0</v>
      </c>
      <c r="AX914" s="28">
        <f>F914*AP914</f>
        <v>0</v>
      </c>
      <c r="AY914" s="30" t="s">
        <v>138</v>
      </c>
      <c r="AZ914" s="30" t="s">
        <v>1621</v>
      </c>
      <c r="BA914" s="10" t="s">
        <v>1553</v>
      </c>
      <c r="BC914" s="28">
        <f>AW914+AX914</f>
        <v>0</v>
      </c>
      <c r="BD914" s="28">
        <f>G914/(100-BE914)*100</f>
        <v>0</v>
      </c>
      <c r="BE914" s="28">
        <v>0</v>
      </c>
      <c r="BF914" s="28">
        <f>914</f>
        <v>914</v>
      </c>
      <c r="BH914" s="28">
        <f>F914*AO914</f>
        <v>0</v>
      </c>
      <c r="BI914" s="28">
        <f>F914*AP914</f>
        <v>0</v>
      </c>
      <c r="BJ914" s="28">
        <f>F914*G914</f>
        <v>0</v>
      </c>
      <c r="BK914" s="28"/>
      <c r="BL914" s="28">
        <v>721</v>
      </c>
      <c r="BW914" s="28">
        <v>21</v>
      </c>
    </row>
    <row r="915" spans="1:75" x14ac:dyDescent="0.25">
      <c r="A915" s="31"/>
      <c r="C915" s="32" t="s">
        <v>1622</v>
      </c>
      <c r="D915" s="32" t="s">
        <v>1623</v>
      </c>
      <c r="F915" s="33">
        <v>0.88</v>
      </c>
      <c r="K915" s="34"/>
    </row>
    <row r="916" spans="1:75" ht="13.5" customHeight="1" x14ac:dyDescent="0.25">
      <c r="A916" s="2" t="s">
        <v>1624</v>
      </c>
      <c r="B916" s="3" t="s">
        <v>1625</v>
      </c>
      <c r="C916" s="83" t="s">
        <v>1626</v>
      </c>
      <c r="D916" s="80"/>
      <c r="E916" s="3" t="s">
        <v>78</v>
      </c>
      <c r="F916" s="28">
        <v>0.5</v>
      </c>
      <c r="G916" s="28">
        <v>0</v>
      </c>
      <c r="H916" s="28">
        <f>F916*AO916</f>
        <v>0</v>
      </c>
      <c r="I916" s="28">
        <f>F916*AP916</f>
        <v>0</v>
      </c>
      <c r="J916" s="28">
        <f>F916*G916</f>
        <v>0</v>
      </c>
      <c r="K916" s="29" t="s">
        <v>1602</v>
      </c>
      <c r="Z916" s="28">
        <f>IF(AQ916="5",BJ916,0)</f>
        <v>0</v>
      </c>
      <c r="AB916" s="28">
        <f>IF(AQ916="1",BH916,0)</f>
        <v>0</v>
      </c>
      <c r="AC916" s="28">
        <f>IF(AQ916="1",BI916,0)</f>
        <v>0</v>
      </c>
      <c r="AD916" s="28">
        <f>IF(AQ916="7",BH916,0)</f>
        <v>0</v>
      </c>
      <c r="AE916" s="28">
        <f>IF(AQ916="7",BI916,0)</f>
        <v>0</v>
      </c>
      <c r="AF916" s="28">
        <f>IF(AQ916="2",BH916,0)</f>
        <v>0</v>
      </c>
      <c r="AG916" s="28">
        <f>IF(AQ916="2",BI916,0)</f>
        <v>0</v>
      </c>
      <c r="AH916" s="28">
        <f>IF(AQ916="0",BJ916,0)</f>
        <v>0</v>
      </c>
      <c r="AI916" s="10" t="s">
        <v>1547</v>
      </c>
      <c r="AJ916" s="28">
        <f>IF(AN916=0,J916,0)</f>
        <v>0</v>
      </c>
      <c r="AK916" s="28">
        <f>IF(AN916=12,J916,0)</f>
        <v>0</v>
      </c>
      <c r="AL916" s="28">
        <f>IF(AN916=21,J916,0)</f>
        <v>0</v>
      </c>
      <c r="AN916" s="28">
        <v>21</v>
      </c>
      <c r="AO916" s="28">
        <f>G916*0.310095808</f>
        <v>0</v>
      </c>
      <c r="AP916" s="28">
        <f>G916*(1-0.310095808)</f>
        <v>0</v>
      </c>
      <c r="AQ916" s="30" t="s">
        <v>98</v>
      </c>
      <c r="AV916" s="28">
        <f>AW916+AX916</f>
        <v>0</v>
      </c>
      <c r="AW916" s="28">
        <f>F916*AO916</f>
        <v>0</v>
      </c>
      <c r="AX916" s="28">
        <f>F916*AP916</f>
        <v>0</v>
      </c>
      <c r="AY916" s="30" t="s">
        <v>138</v>
      </c>
      <c r="AZ916" s="30" t="s">
        <v>1621</v>
      </c>
      <c r="BA916" s="10" t="s">
        <v>1553</v>
      </c>
      <c r="BC916" s="28">
        <f>AW916+AX916</f>
        <v>0</v>
      </c>
      <c r="BD916" s="28">
        <f>G916/(100-BE916)*100</f>
        <v>0</v>
      </c>
      <c r="BE916" s="28">
        <v>0</v>
      </c>
      <c r="BF916" s="28">
        <f>916</f>
        <v>916</v>
      </c>
      <c r="BH916" s="28">
        <f>F916*AO916</f>
        <v>0</v>
      </c>
      <c r="BI916" s="28">
        <f>F916*AP916</f>
        <v>0</v>
      </c>
      <c r="BJ916" s="28">
        <f>F916*G916</f>
        <v>0</v>
      </c>
      <c r="BK916" s="28"/>
      <c r="BL916" s="28">
        <v>721</v>
      </c>
      <c r="BW916" s="28">
        <v>21</v>
      </c>
    </row>
    <row r="917" spans="1:75" x14ac:dyDescent="0.25">
      <c r="A917" s="31"/>
      <c r="C917" s="32" t="s">
        <v>1397</v>
      </c>
      <c r="D917" s="32" t="s">
        <v>1623</v>
      </c>
      <c r="F917" s="33">
        <v>0.5</v>
      </c>
      <c r="K917" s="34"/>
    </row>
    <row r="918" spans="1:75" ht="13.5" customHeight="1" x14ac:dyDescent="0.25">
      <c r="A918" s="2" t="s">
        <v>1627</v>
      </c>
      <c r="B918" s="3" t="s">
        <v>1628</v>
      </c>
      <c r="C918" s="83" t="s">
        <v>1629</v>
      </c>
      <c r="D918" s="80"/>
      <c r="E918" s="3" t="s">
        <v>78</v>
      </c>
      <c r="F918" s="28">
        <v>1.1000000000000001</v>
      </c>
      <c r="G918" s="28">
        <v>0</v>
      </c>
      <c r="H918" s="28">
        <f>F918*AO918</f>
        <v>0</v>
      </c>
      <c r="I918" s="28">
        <f>F918*AP918</f>
        <v>0</v>
      </c>
      <c r="J918" s="28">
        <f>F918*G918</f>
        <v>0</v>
      </c>
      <c r="K918" s="29" t="s">
        <v>1602</v>
      </c>
      <c r="Z918" s="28">
        <f>IF(AQ918="5",BJ918,0)</f>
        <v>0</v>
      </c>
      <c r="AB918" s="28">
        <f>IF(AQ918="1",BH918,0)</f>
        <v>0</v>
      </c>
      <c r="AC918" s="28">
        <f>IF(AQ918="1",BI918,0)</f>
        <v>0</v>
      </c>
      <c r="AD918" s="28">
        <f>IF(AQ918="7",BH918,0)</f>
        <v>0</v>
      </c>
      <c r="AE918" s="28">
        <f>IF(AQ918="7",BI918,0)</f>
        <v>0</v>
      </c>
      <c r="AF918" s="28">
        <f>IF(AQ918="2",BH918,0)</f>
        <v>0</v>
      </c>
      <c r="AG918" s="28">
        <f>IF(AQ918="2",BI918,0)</f>
        <v>0</v>
      </c>
      <c r="AH918" s="28">
        <f>IF(AQ918="0",BJ918,0)</f>
        <v>0</v>
      </c>
      <c r="AI918" s="10" t="s">
        <v>1547</v>
      </c>
      <c r="AJ918" s="28">
        <f>IF(AN918=0,J918,0)</f>
        <v>0</v>
      </c>
      <c r="AK918" s="28">
        <f>IF(AN918=12,J918,0)</f>
        <v>0</v>
      </c>
      <c r="AL918" s="28">
        <f>IF(AN918=21,J918,0)</f>
        <v>0</v>
      </c>
      <c r="AN918" s="28">
        <v>21</v>
      </c>
      <c r="AO918" s="28">
        <f>G918*0.405835866</f>
        <v>0</v>
      </c>
      <c r="AP918" s="28">
        <f>G918*(1-0.405835866)</f>
        <v>0</v>
      </c>
      <c r="AQ918" s="30" t="s">
        <v>98</v>
      </c>
      <c r="AV918" s="28">
        <f>AW918+AX918</f>
        <v>0</v>
      </c>
      <c r="AW918" s="28">
        <f>F918*AO918</f>
        <v>0</v>
      </c>
      <c r="AX918" s="28">
        <f>F918*AP918</f>
        <v>0</v>
      </c>
      <c r="AY918" s="30" t="s">
        <v>138</v>
      </c>
      <c r="AZ918" s="30" t="s">
        <v>1621</v>
      </c>
      <c r="BA918" s="10" t="s">
        <v>1553</v>
      </c>
      <c r="BC918" s="28">
        <f>AW918+AX918</f>
        <v>0</v>
      </c>
      <c r="BD918" s="28">
        <f>G918/(100-BE918)*100</f>
        <v>0</v>
      </c>
      <c r="BE918" s="28">
        <v>0</v>
      </c>
      <c r="BF918" s="28">
        <f>918</f>
        <v>918</v>
      </c>
      <c r="BH918" s="28">
        <f>F918*AO918</f>
        <v>0</v>
      </c>
      <c r="BI918" s="28">
        <f>F918*AP918</f>
        <v>0</v>
      </c>
      <c r="BJ918" s="28">
        <f>F918*G918</f>
        <v>0</v>
      </c>
      <c r="BK918" s="28"/>
      <c r="BL918" s="28">
        <v>721</v>
      </c>
      <c r="BW918" s="28">
        <v>21</v>
      </c>
    </row>
    <row r="919" spans="1:75" x14ac:dyDescent="0.25">
      <c r="A919" s="31"/>
      <c r="C919" s="32" t="s">
        <v>1630</v>
      </c>
      <c r="D919" s="32" t="s">
        <v>1631</v>
      </c>
      <c r="F919" s="33">
        <v>1.1000000000000001</v>
      </c>
      <c r="K919" s="34"/>
    </row>
    <row r="920" spans="1:75" ht="13.5" customHeight="1" x14ac:dyDescent="0.25">
      <c r="A920" s="2" t="s">
        <v>1632</v>
      </c>
      <c r="B920" s="3" t="s">
        <v>1633</v>
      </c>
      <c r="C920" s="83" t="s">
        <v>1634</v>
      </c>
      <c r="D920" s="80"/>
      <c r="E920" s="3" t="s">
        <v>137</v>
      </c>
      <c r="F920" s="28">
        <v>1</v>
      </c>
      <c r="G920" s="28">
        <v>0</v>
      </c>
      <c r="H920" s="28">
        <f>F920*AO920</f>
        <v>0</v>
      </c>
      <c r="I920" s="28">
        <f>F920*AP920</f>
        <v>0</v>
      </c>
      <c r="J920" s="28">
        <f>F920*G920</f>
        <v>0</v>
      </c>
      <c r="K920" s="29" t="s">
        <v>1602</v>
      </c>
      <c r="Z920" s="28">
        <f>IF(AQ920="5",BJ920,0)</f>
        <v>0</v>
      </c>
      <c r="AB920" s="28">
        <f>IF(AQ920="1",BH920,0)</f>
        <v>0</v>
      </c>
      <c r="AC920" s="28">
        <f>IF(AQ920="1",BI920,0)</f>
        <v>0</v>
      </c>
      <c r="AD920" s="28">
        <f>IF(AQ920="7",BH920,0)</f>
        <v>0</v>
      </c>
      <c r="AE920" s="28">
        <f>IF(AQ920="7",BI920,0)</f>
        <v>0</v>
      </c>
      <c r="AF920" s="28">
        <f>IF(AQ920="2",BH920,0)</f>
        <v>0</v>
      </c>
      <c r="AG920" s="28">
        <f>IF(AQ920="2",BI920,0)</f>
        <v>0</v>
      </c>
      <c r="AH920" s="28">
        <f>IF(AQ920="0",BJ920,0)</f>
        <v>0</v>
      </c>
      <c r="AI920" s="10" t="s">
        <v>1547</v>
      </c>
      <c r="AJ920" s="28">
        <f>IF(AN920=0,J920,0)</f>
        <v>0</v>
      </c>
      <c r="AK920" s="28">
        <f>IF(AN920=12,J920,0)</f>
        <v>0</v>
      </c>
      <c r="AL920" s="28">
        <f>IF(AN920=21,J920,0)</f>
        <v>0</v>
      </c>
      <c r="AN920" s="28">
        <v>21</v>
      </c>
      <c r="AO920" s="28">
        <f>G920*0</f>
        <v>0</v>
      </c>
      <c r="AP920" s="28">
        <f>G920*(1-0)</f>
        <v>0</v>
      </c>
      <c r="AQ920" s="30" t="s">
        <v>98</v>
      </c>
      <c r="AV920" s="28">
        <f>AW920+AX920</f>
        <v>0</v>
      </c>
      <c r="AW920" s="28">
        <f>F920*AO920</f>
        <v>0</v>
      </c>
      <c r="AX920" s="28">
        <f>F920*AP920</f>
        <v>0</v>
      </c>
      <c r="AY920" s="30" t="s">
        <v>138</v>
      </c>
      <c r="AZ920" s="30" t="s">
        <v>1621</v>
      </c>
      <c r="BA920" s="10" t="s">
        <v>1553</v>
      </c>
      <c r="BC920" s="28">
        <f>AW920+AX920</f>
        <v>0</v>
      </c>
      <c r="BD920" s="28">
        <f>G920/(100-BE920)*100</f>
        <v>0</v>
      </c>
      <c r="BE920" s="28">
        <v>0</v>
      </c>
      <c r="BF920" s="28">
        <f>920</f>
        <v>920</v>
      </c>
      <c r="BH920" s="28">
        <f>F920*AO920</f>
        <v>0</v>
      </c>
      <c r="BI920" s="28">
        <f>F920*AP920</f>
        <v>0</v>
      </c>
      <c r="BJ920" s="28">
        <f>F920*G920</f>
        <v>0</v>
      </c>
      <c r="BK920" s="28"/>
      <c r="BL920" s="28">
        <v>721</v>
      </c>
      <c r="BW920" s="28">
        <v>21</v>
      </c>
    </row>
    <row r="921" spans="1:75" x14ac:dyDescent="0.25">
      <c r="A921" s="31"/>
      <c r="C921" s="32" t="s">
        <v>57</v>
      </c>
      <c r="D921" s="32" t="s">
        <v>52</v>
      </c>
      <c r="F921" s="33">
        <v>1</v>
      </c>
      <c r="K921" s="34"/>
    </row>
    <row r="922" spans="1:75" ht="13.5" customHeight="1" x14ac:dyDescent="0.25">
      <c r="A922" s="2" t="s">
        <v>1635</v>
      </c>
      <c r="B922" s="3" t="s">
        <v>1636</v>
      </c>
      <c r="C922" s="83" t="s">
        <v>1637</v>
      </c>
      <c r="D922" s="80"/>
      <c r="E922" s="3" t="s">
        <v>137</v>
      </c>
      <c r="F922" s="28">
        <v>1</v>
      </c>
      <c r="G922" s="28">
        <v>0</v>
      </c>
      <c r="H922" s="28">
        <f>F922*AO922</f>
        <v>0</v>
      </c>
      <c r="I922" s="28">
        <f>F922*AP922</f>
        <v>0</v>
      </c>
      <c r="J922" s="28">
        <f>F922*G922</f>
        <v>0</v>
      </c>
      <c r="K922" s="29" t="s">
        <v>61</v>
      </c>
      <c r="Z922" s="28">
        <f>IF(AQ922="5",BJ922,0)</f>
        <v>0</v>
      </c>
      <c r="AB922" s="28">
        <f>IF(AQ922="1",BH922,0)</f>
        <v>0</v>
      </c>
      <c r="AC922" s="28">
        <f>IF(AQ922="1",BI922,0)</f>
        <v>0</v>
      </c>
      <c r="AD922" s="28">
        <f>IF(AQ922="7",BH922,0)</f>
        <v>0</v>
      </c>
      <c r="AE922" s="28">
        <f>IF(AQ922="7",BI922,0)</f>
        <v>0</v>
      </c>
      <c r="AF922" s="28">
        <f>IF(AQ922="2",BH922,0)</f>
        <v>0</v>
      </c>
      <c r="AG922" s="28">
        <f>IF(AQ922="2",BI922,0)</f>
        <v>0</v>
      </c>
      <c r="AH922" s="28">
        <f>IF(AQ922="0",BJ922,0)</f>
        <v>0</v>
      </c>
      <c r="AI922" s="10" t="s">
        <v>1547</v>
      </c>
      <c r="AJ922" s="28">
        <f>IF(AN922=0,J922,0)</f>
        <v>0</v>
      </c>
      <c r="AK922" s="28">
        <f>IF(AN922=12,J922,0)</f>
        <v>0</v>
      </c>
      <c r="AL922" s="28">
        <f>IF(AN922=21,J922,0)</f>
        <v>0</v>
      </c>
      <c r="AN922" s="28">
        <v>21</v>
      </c>
      <c r="AO922" s="28">
        <f>G922*0.959427391</f>
        <v>0</v>
      </c>
      <c r="AP922" s="28">
        <f>G922*(1-0.959427391)</f>
        <v>0</v>
      </c>
      <c r="AQ922" s="30" t="s">
        <v>98</v>
      </c>
      <c r="AV922" s="28">
        <f>AW922+AX922</f>
        <v>0</v>
      </c>
      <c r="AW922" s="28">
        <f>F922*AO922</f>
        <v>0</v>
      </c>
      <c r="AX922" s="28">
        <f>F922*AP922</f>
        <v>0</v>
      </c>
      <c r="AY922" s="30" t="s">
        <v>138</v>
      </c>
      <c r="AZ922" s="30" t="s">
        <v>1621</v>
      </c>
      <c r="BA922" s="10" t="s">
        <v>1553</v>
      </c>
      <c r="BC922" s="28">
        <f>AW922+AX922</f>
        <v>0</v>
      </c>
      <c r="BD922" s="28">
        <f>G922/(100-BE922)*100</f>
        <v>0</v>
      </c>
      <c r="BE922" s="28">
        <v>0</v>
      </c>
      <c r="BF922" s="28">
        <f>922</f>
        <v>922</v>
      </c>
      <c r="BH922" s="28">
        <f>F922*AO922</f>
        <v>0</v>
      </c>
      <c r="BI922" s="28">
        <f>F922*AP922</f>
        <v>0</v>
      </c>
      <c r="BJ922" s="28">
        <f>F922*G922</f>
        <v>0</v>
      </c>
      <c r="BK922" s="28"/>
      <c r="BL922" s="28">
        <v>721</v>
      </c>
      <c r="BW922" s="28">
        <v>21</v>
      </c>
    </row>
    <row r="923" spans="1:75" x14ac:dyDescent="0.25">
      <c r="A923" s="31"/>
      <c r="C923" s="32" t="s">
        <v>57</v>
      </c>
      <c r="D923" s="32" t="s">
        <v>52</v>
      </c>
      <c r="F923" s="33">
        <v>1</v>
      </c>
      <c r="K923" s="34"/>
    </row>
    <row r="924" spans="1:75" ht="13.5" customHeight="1" x14ac:dyDescent="0.25">
      <c r="A924" s="2" t="s">
        <v>1638</v>
      </c>
      <c r="B924" s="3" t="s">
        <v>1639</v>
      </c>
      <c r="C924" s="83" t="s">
        <v>1640</v>
      </c>
      <c r="D924" s="80"/>
      <c r="E924" s="3" t="s">
        <v>78</v>
      </c>
      <c r="F924" s="28">
        <v>49.5</v>
      </c>
      <c r="G924" s="28">
        <v>0</v>
      </c>
      <c r="H924" s="28">
        <f>F924*AO924</f>
        <v>0</v>
      </c>
      <c r="I924" s="28">
        <f>F924*AP924</f>
        <v>0</v>
      </c>
      <c r="J924" s="28">
        <f>F924*G924</f>
        <v>0</v>
      </c>
      <c r="K924" s="29" t="s">
        <v>61</v>
      </c>
      <c r="Z924" s="28">
        <f>IF(AQ924="5",BJ924,0)</f>
        <v>0</v>
      </c>
      <c r="AB924" s="28">
        <f>IF(AQ924="1",BH924,0)</f>
        <v>0</v>
      </c>
      <c r="AC924" s="28">
        <f>IF(AQ924="1",BI924,0)</f>
        <v>0</v>
      </c>
      <c r="AD924" s="28">
        <f>IF(AQ924="7",BH924,0)</f>
        <v>0</v>
      </c>
      <c r="AE924" s="28">
        <f>IF(AQ924="7",BI924,0)</f>
        <v>0</v>
      </c>
      <c r="AF924" s="28">
        <f>IF(AQ924="2",BH924,0)</f>
        <v>0</v>
      </c>
      <c r="AG924" s="28">
        <f>IF(AQ924="2",BI924,0)</f>
        <v>0</v>
      </c>
      <c r="AH924" s="28">
        <f>IF(AQ924="0",BJ924,0)</f>
        <v>0</v>
      </c>
      <c r="AI924" s="10" t="s">
        <v>1547</v>
      </c>
      <c r="AJ924" s="28">
        <f>IF(AN924=0,J924,0)</f>
        <v>0</v>
      </c>
      <c r="AK924" s="28">
        <f>IF(AN924=12,J924,0)</f>
        <v>0</v>
      </c>
      <c r="AL924" s="28">
        <f>IF(AN924=21,J924,0)</f>
        <v>0</v>
      </c>
      <c r="AN924" s="28">
        <v>21</v>
      </c>
      <c r="AO924" s="28">
        <f>G924*0.493573034</f>
        <v>0</v>
      </c>
      <c r="AP924" s="28">
        <f>G924*(1-0.493573034)</f>
        <v>0</v>
      </c>
      <c r="AQ924" s="30" t="s">
        <v>98</v>
      </c>
      <c r="AV924" s="28">
        <f>AW924+AX924</f>
        <v>0</v>
      </c>
      <c r="AW924" s="28">
        <f>F924*AO924</f>
        <v>0</v>
      </c>
      <c r="AX924" s="28">
        <f>F924*AP924</f>
        <v>0</v>
      </c>
      <c r="AY924" s="30" t="s">
        <v>138</v>
      </c>
      <c r="AZ924" s="30" t="s">
        <v>1621</v>
      </c>
      <c r="BA924" s="10" t="s">
        <v>1553</v>
      </c>
      <c r="BC924" s="28">
        <f>AW924+AX924</f>
        <v>0</v>
      </c>
      <c r="BD924" s="28">
        <f>G924/(100-BE924)*100</f>
        <v>0</v>
      </c>
      <c r="BE924" s="28">
        <v>0</v>
      </c>
      <c r="BF924" s="28">
        <f>924</f>
        <v>924</v>
      </c>
      <c r="BH924" s="28">
        <f>F924*AO924</f>
        <v>0</v>
      </c>
      <c r="BI924" s="28">
        <f>F924*AP924</f>
        <v>0</v>
      </c>
      <c r="BJ924" s="28">
        <f>F924*G924</f>
        <v>0</v>
      </c>
      <c r="BK924" s="28"/>
      <c r="BL924" s="28">
        <v>721</v>
      </c>
      <c r="BW924" s="28">
        <v>21</v>
      </c>
    </row>
    <row r="925" spans="1:75" x14ac:dyDescent="0.25">
      <c r="A925" s="31"/>
      <c r="C925" s="32" t="s">
        <v>1641</v>
      </c>
      <c r="D925" s="32" t="s">
        <v>1642</v>
      </c>
      <c r="F925" s="33">
        <v>46.2</v>
      </c>
      <c r="K925" s="34"/>
    </row>
    <row r="926" spans="1:75" x14ac:dyDescent="0.25">
      <c r="A926" s="31"/>
      <c r="C926" s="32" t="s">
        <v>1643</v>
      </c>
      <c r="D926" s="32" t="s">
        <v>1631</v>
      </c>
      <c r="F926" s="33">
        <v>3.3</v>
      </c>
      <c r="K926" s="34"/>
    </row>
    <row r="927" spans="1:75" ht="13.5" customHeight="1" x14ac:dyDescent="0.25">
      <c r="A927" s="2" t="s">
        <v>1644</v>
      </c>
      <c r="B927" s="3" t="s">
        <v>1645</v>
      </c>
      <c r="C927" s="83" t="s">
        <v>1646</v>
      </c>
      <c r="D927" s="80"/>
      <c r="E927" s="3" t="s">
        <v>78</v>
      </c>
      <c r="F927" s="28">
        <v>45</v>
      </c>
      <c r="G927" s="28">
        <v>0</v>
      </c>
      <c r="H927" s="28">
        <f>F927*AO927</f>
        <v>0</v>
      </c>
      <c r="I927" s="28">
        <f>F927*AP927</f>
        <v>0</v>
      </c>
      <c r="J927" s="28">
        <f>F927*G927</f>
        <v>0</v>
      </c>
      <c r="K927" s="29" t="s">
        <v>1602</v>
      </c>
      <c r="Z927" s="28">
        <f>IF(AQ927="5",BJ927,0)</f>
        <v>0</v>
      </c>
      <c r="AB927" s="28">
        <f>IF(AQ927="1",BH927,0)</f>
        <v>0</v>
      </c>
      <c r="AC927" s="28">
        <f>IF(AQ927="1",BI927,0)</f>
        <v>0</v>
      </c>
      <c r="AD927" s="28">
        <f>IF(AQ927="7",BH927,0)</f>
        <v>0</v>
      </c>
      <c r="AE927" s="28">
        <f>IF(AQ927="7",BI927,0)</f>
        <v>0</v>
      </c>
      <c r="AF927" s="28">
        <f>IF(AQ927="2",BH927,0)</f>
        <v>0</v>
      </c>
      <c r="AG927" s="28">
        <f>IF(AQ927="2",BI927,0)</f>
        <v>0</v>
      </c>
      <c r="AH927" s="28">
        <f>IF(AQ927="0",BJ927,0)</f>
        <v>0</v>
      </c>
      <c r="AI927" s="10" t="s">
        <v>1547</v>
      </c>
      <c r="AJ927" s="28">
        <f>IF(AN927=0,J927,0)</f>
        <v>0</v>
      </c>
      <c r="AK927" s="28">
        <f>IF(AN927=12,J927,0)</f>
        <v>0</v>
      </c>
      <c r="AL927" s="28">
        <f>IF(AN927=21,J927,0)</f>
        <v>0</v>
      </c>
      <c r="AN927" s="28">
        <v>21</v>
      </c>
      <c r="AO927" s="28">
        <f>G927*0.026859504</f>
        <v>0</v>
      </c>
      <c r="AP927" s="28">
        <f>G927*(1-0.026859504)</f>
        <v>0</v>
      </c>
      <c r="AQ927" s="30" t="s">
        <v>98</v>
      </c>
      <c r="AV927" s="28">
        <f>AW927+AX927</f>
        <v>0</v>
      </c>
      <c r="AW927" s="28">
        <f>F927*AO927</f>
        <v>0</v>
      </c>
      <c r="AX927" s="28">
        <f>F927*AP927</f>
        <v>0</v>
      </c>
      <c r="AY927" s="30" t="s">
        <v>138</v>
      </c>
      <c r="AZ927" s="30" t="s">
        <v>1621</v>
      </c>
      <c r="BA927" s="10" t="s">
        <v>1553</v>
      </c>
      <c r="BC927" s="28">
        <f>AW927+AX927</f>
        <v>0</v>
      </c>
      <c r="BD927" s="28">
        <f>G927/(100-BE927)*100</f>
        <v>0</v>
      </c>
      <c r="BE927" s="28">
        <v>0</v>
      </c>
      <c r="BF927" s="28">
        <f>927</f>
        <v>927</v>
      </c>
      <c r="BH927" s="28">
        <f>F927*AO927</f>
        <v>0</v>
      </c>
      <c r="BI927" s="28">
        <f>F927*AP927</f>
        <v>0</v>
      </c>
      <c r="BJ927" s="28">
        <f>F927*G927</f>
        <v>0</v>
      </c>
      <c r="BK927" s="28"/>
      <c r="BL927" s="28">
        <v>721</v>
      </c>
      <c r="BW927" s="28">
        <v>21</v>
      </c>
    </row>
    <row r="928" spans="1:75" x14ac:dyDescent="0.25">
      <c r="A928" s="31"/>
      <c r="C928" s="32" t="s">
        <v>1647</v>
      </c>
      <c r="D928" s="32" t="s">
        <v>52</v>
      </c>
      <c r="F928" s="33">
        <v>45</v>
      </c>
      <c r="K928" s="34"/>
    </row>
    <row r="929" spans="1:75" ht="13.5" customHeight="1" x14ac:dyDescent="0.25">
      <c r="A929" s="2" t="s">
        <v>1648</v>
      </c>
      <c r="B929" s="3" t="s">
        <v>1649</v>
      </c>
      <c r="C929" s="83" t="s">
        <v>1650</v>
      </c>
      <c r="D929" s="80"/>
      <c r="E929" s="3" t="s">
        <v>137</v>
      </c>
      <c r="F929" s="28">
        <v>1</v>
      </c>
      <c r="G929" s="28">
        <v>0</v>
      </c>
      <c r="H929" s="28">
        <f>F929*AO929</f>
        <v>0</v>
      </c>
      <c r="I929" s="28">
        <f>F929*AP929</f>
        <v>0</v>
      </c>
      <c r="J929" s="28">
        <f>F929*G929</f>
        <v>0</v>
      </c>
      <c r="K929" s="29" t="s">
        <v>61</v>
      </c>
      <c r="Z929" s="28">
        <f>IF(AQ929="5",BJ929,0)</f>
        <v>0</v>
      </c>
      <c r="AB929" s="28">
        <f>IF(AQ929="1",BH929,0)</f>
        <v>0</v>
      </c>
      <c r="AC929" s="28">
        <f>IF(AQ929="1",BI929,0)</f>
        <v>0</v>
      </c>
      <c r="AD929" s="28">
        <f>IF(AQ929="7",BH929,0)</f>
        <v>0</v>
      </c>
      <c r="AE929" s="28">
        <f>IF(AQ929="7",BI929,0)</f>
        <v>0</v>
      </c>
      <c r="AF929" s="28">
        <f>IF(AQ929="2",BH929,0)</f>
        <v>0</v>
      </c>
      <c r="AG929" s="28">
        <f>IF(AQ929="2",BI929,0)</f>
        <v>0</v>
      </c>
      <c r="AH929" s="28">
        <f>IF(AQ929="0",BJ929,0)</f>
        <v>0</v>
      </c>
      <c r="AI929" s="10" t="s">
        <v>1547</v>
      </c>
      <c r="AJ929" s="28">
        <f>IF(AN929=0,J929,0)</f>
        <v>0</v>
      </c>
      <c r="AK929" s="28">
        <f>IF(AN929=12,J929,0)</f>
        <v>0</v>
      </c>
      <c r="AL929" s="28">
        <f>IF(AN929=21,J929,0)</f>
        <v>0</v>
      </c>
      <c r="AN929" s="28">
        <v>21</v>
      </c>
      <c r="AO929" s="28">
        <f>G929*0.007338129</f>
        <v>0</v>
      </c>
      <c r="AP929" s="28">
        <f>G929*(1-0.007338129)</f>
        <v>0</v>
      </c>
      <c r="AQ929" s="30" t="s">
        <v>98</v>
      </c>
      <c r="AV929" s="28">
        <f>AW929+AX929</f>
        <v>0</v>
      </c>
      <c r="AW929" s="28">
        <f>F929*AO929</f>
        <v>0</v>
      </c>
      <c r="AX929" s="28">
        <f>F929*AP929</f>
        <v>0</v>
      </c>
      <c r="AY929" s="30" t="s">
        <v>138</v>
      </c>
      <c r="AZ929" s="30" t="s">
        <v>1621</v>
      </c>
      <c r="BA929" s="10" t="s">
        <v>1553</v>
      </c>
      <c r="BC929" s="28">
        <f>AW929+AX929</f>
        <v>0</v>
      </c>
      <c r="BD929" s="28">
        <f>G929/(100-BE929)*100</f>
        <v>0</v>
      </c>
      <c r="BE929" s="28">
        <v>0</v>
      </c>
      <c r="BF929" s="28">
        <f>929</f>
        <v>929</v>
      </c>
      <c r="BH929" s="28">
        <f>F929*AO929</f>
        <v>0</v>
      </c>
      <c r="BI929" s="28">
        <f>F929*AP929</f>
        <v>0</v>
      </c>
      <c r="BJ929" s="28">
        <f>F929*G929</f>
        <v>0</v>
      </c>
      <c r="BK929" s="28"/>
      <c r="BL929" s="28">
        <v>721</v>
      </c>
      <c r="BW929" s="28">
        <v>21</v>
      </c>
    </row>
    <row r="930" spans="1:75" x14ac:dyDescent="0.25">
      <c r="A930" s="31"/>
      <c r="C930" s="32" t="s">
        <v>57</v>
      </c>
      <c r="D930" s="32" t="s">
        <v>52</v>
      </c>
      <c r="F930" s="33">
        <v>1</v>
      </c>
      <c r="K930" s="34"/>
    </row>
    <row r="931" spans="1:75" ht="13.5" customHeight="1" x14ac:dyDescent="0.25">
      <c r="A931" s="2" t="s">
        <v>1651</v>
      </c>
      <c r="B931" s="3" t="s">
        <v>1652</v>
      </c>
      <c r="C931" s="83" t="s">
        <v>1653</v>
      </c>
      <c r="D931" s="80"/>
      <c r="E931" s="3" t="s">
        <v>78</v>
      </c>
      <c r="F931" s="28">
        <v>40.200000000000003</v>
      </c>
      <c r="G931" s="28">
        <v>0</v>
      </c>
      <c r="H931" s="28">
        <f>F931*AO931</f>
        <v>0</v>
      </c>
      <c r="I931" s="28">
        <f>F931*AP931</f>
        <v>0</v>
      </c>
      <c r="J931" s="28">
        <f>F931*G931</f>
        <v>0</v>
      </c>
      <c r="K931" s="29" t="s">
        <v>1491</v>
      </c>
      <c r="Z931" s="28">
        <f>IF(AQ931="5",BJ931,0)</f>
        <v>0</v>
      </c>
      <c r="AB931" s="28">
        <f>IF(AQ931="1",BH931,0)</f>
        <v>0</v>
      </c>
      <c r="AC931" s="28">
        <f>IF(AQ931="1",BI931,0)</f>
        <v>0</v>
      </c>
      <c r="AD931" s="28">
        <f>IF(AQ931="7",BH931,0)</f>
        <v>0</v>
      </c>
      <c r="AE931" s="28">
        <f>IF(AQ931="7",BI931,0)</f>
        <v>0</v>
      </c>
      <c r="AF931" s="28">
        <f>IF(AQ931="2",BH931,0)</f>
        <v>0</v>
      </c>
      <c r="AG931" s="28">
        <f>IF(AQ931="2",BI931,0)</f>
        <v>0</v>
      </c>
      <c r="AH931" s="28">
        <f>IF(AQ931="0",BJ931,0)</f>
        <v>0</v>
      </c>
      <c r="AI931" s="10" t="s">
        <v>1547</v>
      </c>
      <c r="AJ931" s="28">
        <f>IF(AN931=0,J931,0)</f>
        <v>0</v>
      </c>
      <c r="AK931" s="28">
        <f>IF(AN931=12,J931,0)</f>
        <v>0</v>
      </c>
      <c r="AL931" s="28">
        <f>IF(AN931=21,J931,0)</f>
        <v>0</v>
      </c>
      <c r="AN931" s="28">
        <v>21</v>
      </c>
      <c r="AO931" s="28">
        <f>G931*0.248322148</f>
        <v>0</v>
      </c>
      <c r="AP931" s="28">
        <f>G931*(1-0.248322148)</f>
        <v>0</v>
      </c>
      <c r="AQ931" s="30" t="s">
        <v>98</v>
      </c>
      <c r="AV931" s="28">
        <f>AW931+AX931</f>
        <v>0</v>
      </c>
      <c r="AW931" s="28">
        <f>F931*AO931</f>
        <v>0</v>
      </c>
      <c r="AX931" s="28">
        <f>F931*AP931</f>
        <v>0</v>
      </c>
      <c r="AY931" s="30" t="s">
        <v>138</v>
      </c>
      <c r="AZ931" s="30" t="s">
        <v>1621</v>
      </c>
      <c r="BA931" s="10" t="s">
        <v>1553</v>
      </c>
      <c r="BC931" s="28">
        <f>AW931+AX931</f>
        <v>0</v>
      </c>
      <c r="BD931" s="28">
        <f>G931/(100-BE931)*100</f>
        <v>0</v>
      </c>
      <c r="BE931" s="28">
        <v>0</v>
      </c>
      <c r="BF931" s="28">
        <f>931</f>
        <v>931</v>
      </c>
      <c r="BH931" s="28">
        <f>F931*AO931</f>
        <v>0</v>
      </c>
      <c r="BI931" s="28">
        <f>F931*AP931</f>
        <v>0</v>
      </c>
      <c r="BJ931" s="28">
        <f>F931*G931</f>
        <v>0</v>
      </c>
      <c r="BK931" s="28"/>
      <c r="BL931" s="28">
        <v>721</v>
      </c>
      <c r="BW931" s="28">
        <v>21</v>
      </c>
    </row>
    <row r="932" spans="1:75" x14ac:dyDescent="0.25">
      <c r="A932" s="31"/>
      <c r="C932" s="32" t="s">
        <v>1654</v>
      </c>
      <c r="D932" s="32" t="s">
        <v>1655</v>
      </c>
      <c r="F932" s="33">
        <v>40.200000000000003</v>
      </c>
      <c r="K932" s="34"/>
    </row>
    <row r="933" spans="1:75" ht="13.5" customHeight="1" x14ac:dyDescent="0.25">
      <c r="A933" s="2" t="s">
        <v>1656</v>
      </c>
      <c r="B933" s="3" t="s">
        <v>1657</v>
      </c>
      <c r="C933" s="83" t="s">
        <v>1658</v>
      </c>
      <c r="D933" s="80"/>
      <c r="E933" s="3" t="s">
        <v>137</v>
      </c>
      <c r="F933" s="28">
        <v>1</v>
      </c>
      <c r="G933" s="28">
        <v>0</v>
      </c>
      <c r="H933" s="28">
        <f>F933*AO933</f>
        <v>0</v>
      </c>
      <c r="I933" s="28">
        <f>F933*AP933</f>
        <v>0</v>
      </c>
      <c r="J933" s="28">
        <f>F933*G933</f>
        <v>0</v>
      </c>
      <c r="K933" s="29" t="s">
        <v>61</v>
      </c>
      <c r="Z933" s="28">
        <f>IF(AQ933="5",BJ933,0)</f>
        <v>0</v>
      </c>
      <c r="AB933" s="28">
        <f>IF(AQ933="1",BH933,0)</f>
        <v>0</v>
      </c>
      <c r="AC933" s="28">
        <f>IF(AQ933="1",BI933,0)</f>
        <v>0</v>
      </c>
      <c r="AD933" s="28">
        <f>IF(AQ933="7",BH933,0)</f>
        <v>0</v>
      </c>
      <c r="AE933" s="28">
        <f>IF(AQ933="7",BI933,0)</f>
        <v>0</v>
      </c>
      <c r="AF933" s="28">
        <f>IF(AQ933="2",BH933,0)</f>
        <v>0</v>
      </c>
      <c r="AG933" s="28">
        <f>IF(AQ933="2",BI933,0)</f>
        <v>0</v>
      </c>
      <c r="AH933" s="28">
        <f>IF(AQ933="0",BJ933,0)</f>
        <v>0</v>
      </c>
      <c r="AI933" s="10" t="s">
        <v>1547</v>
      </c>
      <c r="AJ933" s="28">
        <f>IF(AN933=0,J933,0)</f>
        <v>0</v>
      </c>
      <c r="AK933" s="28">
        <f>IF(AN933=12,J933,0)</f>
        <v>0</v>
      </c>
      <c r="AL933" s="28">
        <f>IF(AN933=21,J933,0)</f>
        <v>0</v>
      </c>
      <c r="AN933" s="28">
        <v>21</v>
      </c>
      <c r="AO933" s="28">
        <f>G933*1</f>
        <v>0</v>
      </c>
      <c r="AP933" s="28">
        <f>G933*(1-1)</f>
        <v>0</v>
      </c>
      <c r="AQ933" s="30" t="s">
        <v>98</v>
      </c>
      <c r="AV933" s="28">
        <f>AW933+AX933</f>
        <v>0</v>
      </c>
      <c r="AW933" s="28">
        <f>F933*AO933</f>
        <v>0</v>
      </c>
      <c r="AX933" s="28">
        <f>F933*AP933</f>
        <v>0</v>
      </c>
      <c r="AY933" s="30" t="s">
        <v>138</v>
      </c>
      <c r="AZ933" s="30" t="s">
        <v>1621</v>
      </c>
      <c r="BA933" s="10" t="s">
        <v>1553</v>
      </c>
      <c r="BC933" s="28">
        <f>AW933+AX933</f>
        <v>0</v>
      </c>
      <c r="BD933" s="28">
        <f>G933/(100-BE933)*100</f>
        <v>0</v>
      </c>
      <c r="BE933" s="28">
        <v>0</v>
      </c>
      <c r="BF933" s="28">
        <f>933</f>
        <v>933</v>
      </c>
      <c r="BH933" s="28">
        <f>F933*AO933</f>
        <v>0</v>
      </c>
      <c r="BI933" s="28">
        <f>F933*AP933</f>
        <v>0</v>
      </c>
      <c r="BJ933" s="28">
        <f>F933*G933</f>
        <v>0</v>
      </c>
      <c r="BK933" s="28"/>
      <c r="BL933" s="28">
        <v>721</v>
      </c>
      <c r="BW933" s="28">
        <v>21</v>
      </c>
    </row>
    <row r="934" spans="1:75" x14ac:dyDescent="0.25">
      <c r="A934" s="31"/>
      <c r="C934" s="32" t="s">
        <v>57</v>
      </c>
      <c r="D934" s="32" t="s">
        <v>52</v>
      </c>
      <c r="F934" s="33">
        <v>1</v>
      </c>
      <c r="K934" s="34"/>
    </row>
    <row r="935" spans="1:75" ht="13.5" customHeight="1" x14ac:dyDescent="0.25">
      <c r="A935" s="2" t="s">
        <v>1659</v>
      </c>
      <c r="B935" s="3" t="s">
        <v>1660</v>
      </c>
      <c r="C935" s="83" t="s">
        <v>1661</v>
      </c>
      <c r="D935" s="80"/>
      <c r="E935" s="3" t="s">
        <v>71</v>
      </c>
      <c r="F935" s="28">
        <v>0.1</v>
      </c>
      <c r="G935" s="28">
        <v>0</v>
      </c>
      <c r="H935" s="28">
        <f>F935*AO935</f>
        <v>0</v>
      </c>
      <c r="I935" s="28">
        <f>F935*AP935</f>
        <v>0</v>
      </c>
      <c r="J935" s="28">
        <f>F935*G935</f>
        <v>0</v>
      </c>
      <c r="K935" s="29" t="s">
        <v>1602</v>
      </c>
      <c r="Z935" s="28">
        <f>IF(AQ935="5",BJ935,0)</f>
        <v>0</v>
      </c>
      <c r="AB935" s="28">
        <f>IF(AQ935="1",BH935,0)</f>
        <v>0</v>
      </c>
      <c r="AC935" s="28">
        <f>IF(AQ935="1",BI935,0)</f>
        <v>0</v>
      </c>
      <c r="AD935" s="28">
        <f>IF(AQ935="7",BH935,0)</f>
        <v>0</v>
      </c>
      <c r="AE935" s="28">
        <f>IF(AQ935="7",BI935,0)</f>
        <v>0</v>
      </c>
      <c r="AF935" s="28">
        <f>IF(AQ935="2",BH935,0)</f>
        <v>0</v>
      </c>
      <c r="AG935" s="28">
        <f>IF(AQ935="2",BI935,0)</f>
        <v>0</v>
      </c>
      <c r="AH935" s="28">
        <f>IF(AQ935="0",BJ935,0)</f>
        <v>0</v>
      </c>
      <c r="AI935" s="10" t="s">
        <v>1547</v>
      </c>
      <c r="AJ935" s="28">
        <f>IF(AN935=0,J935,0)</f>
        <v>0</v>
      </c>
      <c r="AK935" s="28">
        <f>IF(AN935=12,J935,0)</f>
        <v>0</v>
      </c>
      <c r="AL935" s="28">
        <f>IF(AN935=21,J935,0)</f>
        <v>0</v>
      </c>
      <c r="AN935" s="28">
        <v>21</v>
      </c>
      <c r="AO935" s="28">
        <f>G935*0</f>
        <v>0</v>
      </c>
      <c r="AP935" s="28">
        <f>G935*(1-0)</f>
        <v>0</v>
      </c>
      <c r="AQ935" s="30" t="s">
        <v>87</v>
      </c>
      <c r="AV935" s="28">
        <f>AW935+AX935</f>
        <v>0</v>
      </c>
      <c r="AW935" s="28">
        <f>F935*AO935</f>
        <v>0</v>
      </c>
      <c r="AX935" s="28">
        <f>F935*AP935</f>
        <v>0</v>
      </c>
      <c r="AY935" s="30" t="s">
        <v>138</v>
      </c>
      <c r="AZ935" s="30" t="s">
        <v>1621</v>
      </c>
      <c r="BA935" s="10" t="s">
        <v>1553</v>
      </c>
      <c r="BC935" s="28">
        <f>AW935+AX935</f>
        <v>0</v>
      </c>
      <c r="BD935" s="28">
        <f>G935/(100-BE935)*100</f>
        <v>0</v>
      </c>
      <c r="BE935" s="28">
        <v>0</v>
      </c>
      <c r="BF935" s="28">
        <f>935</f>
        <v>935</v>
      </c>
      <c r="BH935" s="28">
        <f>F935*AO935</f>
        <v>0</v>
      </c>
      <c r="BI935" s="28">
        <f>F935*AP935</f>
        <v>0</v>
      </c>
      <c r="BJ935" s="28">
        <f>F935*G935</f>
        <v>0</v>
      </c>
      <c r="BK935" s="28"/>
      <c r="BL935" s="28">
        <v>721</v>
      </c>
      <c r="BW935" s="28">
        <v>21</v>
      </c>
    </row>
    <row r="936" spans="1:75" x14ac:dyDescent="0.25">
      <c r="A936" s="31"/>
      <c r="C936" s="32" t="s">
        <v>1662</v>
      </c>
      <c r="D936" s="32" t="s">
        <v>52</v>
      </c>
      <c r="F936" s="33">
        <v>0.1</v>
      </c>
      <c r="K936" s="34"/>
    </row>
    <row r="937" spans="1:75" x14ac:dyDescent="0.25">
      <c r="A937" s="24" t="s">
        <v>52</v>
      </c>
      <c r="B937" s="25" t="s">
        <v>1663</v>
      </c>
      <c r="C937" s="139" t="s">
        <v>1664</v>
      </c>
      <c r="D937" s="140"/>
      <c r="E937" s="26" t="s">
        <v>4</v>
      </c>
      <c r="F937" s="26" t="s">
        <v>4</v>
      </c>
      <c r="G937" s="26" t="s">
        <v>4</v>
      </c>
      <c r="H937" s="1">
        <f>SUM(H938:H960)</f>
        <v>0</v>
      </c>
      <c r="I937" s="1">
        <f>SUM(I938:I960)</f>
        <v>0</v>
      </c>
      <c r="J937" s="1">
        <f>SUM(J938:J960)</f>
        <v>0</v>
      </c>
      <c r="K937" s="27" t="s">
        <v>52</v>
      </c>
      <c r="AI937" s="10" t="s">
        <v>1547</v>
      </c>
      <c r="AS937" s="1">
        <f>SUM(AJ938:AJ960)</f>
        <v>0</v>
      </c>
      <c r="AT937" s="1">
        <f>SUM(AK938:AK960)</f>
        <v>0</v>
      </c>
      <c r="AU937" s="1">
        <f>SUM(AL938:AL960)</f>
        <v>0</v>
      </c>
    </row>
    <row r="938" spans="1:75" ht="13.5" customHeight="1" x14ac:dyDescent="0.25">
      <c r="A938" s="2" t="s">
        <v>1665</v>
      </c>
      <c r="B938" s="3" t="s">
        <v>1666</v>
      </c>
      <c r="C938" s="83" t="s">
        <v>1667</v>
      </c>
      <c r="D938" s="80"/>
      <c r="E938" s="3" t="s">
        <v>78</v>
      </c>
      <c r="F938" s="28">
        <v>1.32</v>
      </c>
      <c r="G938" s="28">
        <v>0</v>
      </c>
      <c r="H938" s="28">
        <f>F938*AO938</f>
        <v>0</v>
      </c>
      <c r="I938" s="28">
        <f>F938*AP938</f>
        <v>0</v>
      </c>
      <c r="J938" s="28">
        <f>F938*G938</f>
        <v>0</v>
      </c>
      <c r="K938" s="29" t="s">
        <v>61</v>
      </c>
      <c r="Z938" s="28">
        <f>IF(AQ938="5",BJ938,0)</f>
        <v>0</v>
      </c>
      <c r="AB938" s="28">
        <f>IF(AQ938="1",BH938,0)</f>
        <v>0</v>
      </c>
      <c r="AC938" s="28">
        <f>IF(AQ938="1",BI938,0)</f>
        <v>0</v>
      </c>
      <c r="AD938" s="28">
        <f>IF(AQ938="7",BH938,0)</f>
        <v>0</v>
      </c>
      <c r="AE938" s="28">
        <f>IF(AQ938="7",BI938,0)</f>
        <v>0</v>
      </c>
      <c r="AF938" s="28">
        <f>IF(AQ938="2",BH938,0)</f>
        <v>0</v>
      </c>
      <c r="AG938" s="28">
        <f>IF(AQ938="2",BI938,0)</f>
        <v>0</v>
      </c>
      <c r="AH938" s="28">
        <f>IF(AQ938="0",BJ938,0)</f>
        <v>0</v>
      </c>
      <c r="AI938" s="10" t="s">
        <v>1547</v>
      </c>
      <c r="AJ938" s="28">
        <f>IF(AN938=0,J938,0)</f>
        <v>0</v>
      </c>
      <c r="AK938" s="28">
        <f>IF(AN938=12,J938,0)</f>
        <v>0</v>
      </c>
      <c r="AL938" s="28">
        <f>IF(AN938=21,J938,0)</f>
        <v>0</v>
      </c>
      <c r="AN938" s="28">
        <v>21</v>
      </c>
      <c r="AO938" s="28">
        <f>G938*0.314219895</f>
        <v>0</v>
      </c>
      <c r="AP938" s="28">
        <f>G938*(1-0.314219895)</f>
        <v>0</v>
      </c>
      <c r="AQ938" s="30" t="s">
        <v>98</v>
      </c>
      <c r="AV938" s="28">
        <f>AW938+AX938</f>
        <v>0</v>
      </c>
      <c r="AW938" s="28">
        <f>F938*AO938</f>
        <v>0</v>
      </c>
      <c r="AX938" s="28">
        <f>F938*AP938</f>
        <v>0</v>
      </c>
      <c r="AY938" s="30" t="s">
        <v>1668</v>
      </c>
      <c r="AZ938" s="30" t="s">
        <v>1621</v>
      </c>
      <c r="BA938" s="10" t="s">
        <v>1553</v>
      </c>
      <c r="BC938" s="28">
        <f>AW938+AX938</f>
        <v>0</v>
      </c>
      <c r="BD938" s="28">
        <f>G938/(100-BE938)*100</f>
        <v>0</v>
      </c>
      <c r="BE938" s="28">
        <v>0</v>
      </c>
      <c r="BF938" s="28">
        <f>938</f>
        <v>938</v>
      </c>
      <c r="BH938" s="28">
        <f>F938*AO938</f>
        <v>0</v>
      </c>
      <c r="BI938" s="28">
        <f>F938*AP938</f>
        <v>0</v>
      </c>
      <c r="BJ938" s="28">
        <f>F938*G938</f>
        <v>0</v>
      </c>
      <c r="BK938" s="28"/>
      <c r="BL938" s="28">
        <v>722</v>
      </c>
      <c r="BW938" s="28">
        <v>21</v>
      </c>
    </row>
    <row r="939" spans="1:75" x14ac:dyDescent="0.25">
      <c r="A939" s="31"/>
      <c r="C939" s="32" t="s">
        <v>1669</v>
      </c>
      <c r="D939" s="32" t="s">
        <v>52</v>
      </c>
      <c r="F939" s="33">
        <v>1.32</v>
      </c>
      <c r="K939" s="34"/>
    </row>
    <row r="940" spans="1:75" ht="13.5" customHeight="1" x14ac:dyDescent="0.25">
      <c r="A940" s="2" t="s">
        <v>1670</v>
      </c>
      <c r="B940" s="3" t="s">
        <v>1671</v>
      </c>
      <c r="C940" s="83" t="s">
        <v>1672</v>
      </c>
      <c r="D940" s="80"/>
      <c r="E940" s="3" t="s">
        <v>78</v>
      </c>
      <c r="F940" s="28">
        <v>1.43</v>
      </c>
      <c r="G940" s="28">
        <v>0</v>
      </c>
      <c r="H940" s="28">
        <f>F940*AO940</f>
        <v>0</v>
      </c>
      <c r="I940" s="28">
        <f>F940*AP940</f>
        <v>0</v>
      </c>
      <c r="J940" s="28">
        <f>F940*G940</f>
        <v>0</v>
      </c>
      <c r="K940" s="29" t="s">
        <v>61</v>
      </c>
      <c r="Z940" s="28">
        <f>IF(AQ940="5",BJ940,0)</f>
        <v>0</v>
      </c>
      <c r="AB940" s="28">
        <f>IF(AQ940="1",BH940,0)</f>
        <v>0</v>
      </c>
      <c r="AC940" s="28">
        <f>IF(AQ940="1",BI940,0)</f>
        <v>0</v>
      </c>
      <c r="AD940" s="28">
        <f>IF(AQ940="7",BH940,0)</f>
        <v>0</v>
      </c>
      <c r="AE940" s="28">
        <f>IF(AQ940="7",BI940,0)</f>
        <v>0</v>
      </c>
      <c r="AF940" s="28">
        <f>IF(AQ940="2",BH940,0)</f>
        <v>0</v>
      </c>
      <c r="AG940" s="28">
        <f>IF(AQ940="2",BI940,0)</f>
        <v>0</v>
      </c>
      <c r="AH940" s="28">
        <f>IF(AQ940="0",BJ940,0)</f>
        <v>0</v>
      </c>
      <c r="AI940" s="10" t="s">
        <v>1547</v>
      </c>
      <c r="AJ940" s="28">
        <f>IF(AN940=0,J940,0)</f>
        <v>0</v>
      </c>
      <c r="AK940" s="28">
        <f>IF(AN940=12,J940,0)</f>
        <v>0</v>
      </c>
      <c r="AL940" s="28">
        <f>IF(AN940=21,J940,0)</f>
        <v>0</v>
      </c>
      <c r="AN940" s="28">
        <v>21</v>
      </c>
      <c r="AO940" s="28">
        <f>G940*0.264599799</f>
        <v>0</v>
      </c>
      <c r="AP940" s="28">
        <f>G940*(1-0.264599799)</f>
        <v>0</v>
      </c>
      <c r="AQ940" s="30" t="s">
        <v>98</v>
      </c>
      <c r="AV940" s="28">
        <f>AW940+AX940</f>
        <v>0</v>
      </c>
      <c r="AW940" s="28">
        <f>F940*AO940</f>
        <v>0</v>
      </c>
      <c r="AX940" s="28">
        <f>F940*AP940</f>
        <v>0</v>
      </c>
      <c r="AY940" s="30" t="s">
        <v>1668</v>
      </c>
      <c r="AZ940" s="30" t="s">
        <v>1621</v>
      </c>
      <c r="BA940" s="10" t="s">
        <v>1553</v>
      </c>
      <c r="BC940" s="28">
        <f>AW940+AX940</f>
        <v>0</v>
      </c>
      <c r="BD940" s="28">
        <f>G940/(100-BE940)*100</f>
        <v>0</v>
      </c>
      <c r="BE940" s="28">
        <v>0</v>
      </c>
      <c r="BF940" s="28">
        <f>940</f>
        <v>940</v>
      </c>
      <c r="BH940" s="28">
        <f>F940*AO940</f>
        <v>0</v>
      </c>
      <c r="BI940" s="28">
        <f>F940*AP940</f>
        <v>0</v>
      </c>
      <c r="BJ940" s="28">
        <f>F940*G940</f>
        <v>0</v>
      </c>
      <c r="BK940" s="28"/>
      <c r="BL940" s="28">
        <v>722</v>
      </c>
      <c r="BW940" s="28">
        <v>21</v>
      </c>
    </row>
    <row r="941" spans="1:75" x14ac:dyDescent="0.25">
      <c r="A941" s="31"/>
      <c r="C941" s="32" t="s">
        <v>1673</v>
      </c>
      <c r="D941" s="32" t="s">
        <v>52</v>
      </c>
      <c r="F941" s="33">
        <v>1.43</v>
      </c>
      <c r="K941" s="34"/>
    </row>
    <row r="942" spans="1:75" ht="13.5" customHeight="1" x14ac:dyDescent="0.25">
      <c r="A942" s="2" t="s">
        <v>1674</v>
      </c>
      <c r="B942" s="3" t="s">
        <v>1675</v>
      </c>
      <c r="C942" s="83" t="s">
        <v>1676</v>
      </c>
      <c r="D942" s="80"/>
      <c r="E942" s="3" t="s">
        <v>78</v>
      </c>
      <c r="F942" s="28">
        <v>40.590000000000003</v>
      </c>
      <c r="G942" s="28">
        <v>0</v>
      </c>
      <c r="H942" s="28">
        <f>F942*AO942</f>
        <v>0</v>
      </c>
      <c r="I942" s="28">
        <f>F942*AP942</f>
        <v>0</v>
      </c>
      <c r="J942" s="28">
        <f>F942*G942</f>
        <v>0</v>
      </c>
      <c r="K942" s="29" t="s">
        <v>61</v>
      </c>
      <c r="Z942" s="28">
        <f>IF(AQ942="5",BJ942,0)</f>
        <v>0</v>
      </c>
      <c r="AB942" s="28">
        <f>IF(AQ942="1",BH942,0)</f>
        <v>0</v>
      </c>
      <c r="AC942" s="28">
        <f>IF(AQ942="1",BI942,0)</f>
        <v>0</v>
      </c>
      <c r="AD942" s="28">
        <f>IF(AQ942="7",BH942,0)</f>
        <v>0</v>
      </c>
      <c r="AE942" s="28">
        <f>IF(AQ942="7",BI942,0)</f>
        <v>0</v>
      </c>
      <c r="AF942" s="28">
        <f>IF(AQ942="2",BH942,0)</f>
        <v>0</v>
      </c>
      <c r="AG942" s="28">
        <f>IF(AQ942="2",BI942,0)</f>
        <v>0</v>
      </c>
      <c r="AH942" s="28">
        <f>IF(AQ942="0",BJ942,0)</f>
        <v>0</v>
      </c>
      <c r="AI942" s="10" t="s">
        <v>1547</v>
      </c>
      <c r="AJ942" s="28">
        <f>IF(AN942=0,J942,0)</f>
        <v>0</v>
      </c>
      <c r="AK942" s="28">
        <f>IF(AN942=12,J942,0)</f>
        <v>0</v>
      </c>
      <c r="AL942" s="28">
        <f>IF(AN942=21,J942,0)</f>
        <v>0</v>
      </c>
      <c r="AN942" s="28">
        <v>21</v>
      </c>
      <c r="AO942" s="28">
        <f>G942*0.433787364</f>
        <v>0</v>
      </c>
      <c r="AP942" s="28">
        <f>G942*(1-0.433787364)</f>
        <v>0</v>
      </c>
      <c r="AQ942" s="30" t="s">
        <v>98</v>
      </c>
      <c r="AV942" s="28">
        <f>AW942+AX942</f>
        <v>0</v>
      </c>
      <c r="AW942" s="28">
        <f>F942*AO942</f>
        <v>0</v>
      </c>
      <c r="AX942" s="28">
        <f>F942*AP942</f>
        <v>0</v>
      </c>
      <c r="AY942" s="30" t="s">
        <v>1668</v>
      </c>
      <c r="AZ942" s="30" t="s">
        <v>1621</v>
      </c>
      <c r="BA942" s="10" t="s">
        <v>1553</v>
      </c>
      <c r="BC942" s="28">
        <f>AW942+AX942</f>
        <v>0</v>
      </c>
      <c r="BD942" s="28">
        <f>G942/(100-BE942)*100</f>
        <v>0</v>
      </c>
      <c r="BE942" s="28">
        <v>0</v>
      </c>
      <c r="BF942" s="28">
        <f>942</f>
        <v>942</v>
      </c>
      <c r="BH942" s="28">
        <f>F942*AO942</f>
        <v>0</v>
      </c>
      <c r="BI942" s="28">
        <f>F942*AP942</f>
        <v>0</v>
      </c>
      <c r="BJ942" s="28">
        <f>F942*G942</f>
        <v>0</v>
      </c>
      <c r="BK942" s="28"/>
      <c r="BL942" s="28">
        <v>722</v>
      </c>
      <c r="BW942" s="28">
        <v>21</v>
      </c>
    </row>
    <row r="943" spans="1:75" x14ac:dyDescent="0.25">
      <c r="A943" s="31"/>
      <c r="C943" s="32" t="s">
        <v>1677</v>
      </c>
      <c r="D943" s="32" t="s">
        <v>52</v>
      </c>
      <c r="F943" s="33">
        <v>40.590000000000003</v>
      </c>
      <c r="K943" s="34"/>
    </row>
    <row r="944" spans="1:75" ht="13.5" customHeight="1" x14ac:dyDescent="0.25">
      <c r="A944" s="2" t="s">
        <v>1678</v>
      </c>
      <c r="B944" s="3" t="s">
        <v>1679</v>
      </c>
      <c r="C944" s="83" t="s">
        <v>1680</v>
      </c>
      <c r="D944" s="80"/>
      <c r="E944" s="3" t="s">
        <v>78</v>
      </c>
      <c r="F944" s="28">
        <v>1.98</v>
      </c>
      <c r="G944" s="28">
        <v>0</v>
      </c>
      <c r="H944" s="28">
        <f>F944*AO944</f>
        <v>0</v>
      </c>
      <c r="I944" s="28">
        <f>F944*AP944</f>
        <v>0</v>
      </c>
      <c r="J944" s="28">
        <f>F944*G944</f>
        <v>0</v>
      </c>
      <c r="K944" s="29" t="s">
        <v>61</v>
      </c>
      <c r="Z944" s="28">
        <f>IF(AQ944="5",BJ944,0)</f>
        <v>0</v>
      </c>
      <c r="AB944" s="28">
        <f>IF(AQ944="1",BH944,0)</f>
        <v>0</v>
      </c>
      <c r="AC944" s="28">
        <f>IF(AQ944="1",BI944,0)</f>
        <v>0</v>
      </c>
      <c r="AD944" s="28">
        <f>IF(AQ944="7",BH944,0)</f>
        <v>0</v>
      </c>
      <c r="AE944" s="28">
        <f>IF(AQ944="7",BI944,0)</f>
        <v>0</v>
      </c>
      <c r="AF944" s="28">
        <f>IF(AQ944="2",BH944,0)</f>
        <v>0</v>
      </c>
      <c r="AG944" s="28">
        <f>IF(AQ944="2",BI944,0)</f>
        <v>0</v>
      </c>
      <c r="AH944" s="28">
        <f>IF(AQ944="0",BJ944,0)</f>
        <v>0</v>
      </c>
      <c r="AI944" s="10" t="s">
        <v>1547</v>
      </c>
      <c r="AJ944" s="28">
        <f>IF(AN944=0,J944,0)</f>
        <v>0</v>
      </c>
      <c r="AK944" s="28">
        <f>IF(AN944=12,J944,0)</f>
        <v>0</v>
      </c>
      <c r="AL944" s="28">
        <f>IF(AN944=21,J944,0)</f>
        <v>0</v>
      </c>
      <c r="AN944" s="28">
        <v>21</v>
      </c>
      <c r="AO944" s="28">
        <f>G944*0.550559284</f>
        <v>0</v>
      </c>
      <c r="AP944" s="28">
        <f>G944*(1-0.550559284)</f>
        <v>0</v>
      </c>
      <c r="AQ944" s="30" t="s">
        <v>98</v>
      </c>
      <c r="AV944" s="28">
        <f>AW944+AX944</f>
        <v>0</v>
      </c>
      <c r="AW944" s="28">
        <f>F944*AO944</f>
        <v>0</v>
      </c>
      <c r="AX944" s="28">
        <f>F944*AP944</f>
        <v>0</v>
      </c>
      <c r="AY944" s="30" t="s">
        <v>1668</v>
      </c>
      <c r="AZ944" s="30" t="s">
        <v>1621</v>
      </c>
      <c r="BA944" s="10" t="s">
        <v>1553</v>
      </c>
      <c r="BC944" s="28">
        <f>AW944+AX944</f>
        <v>0</v>
      </c>
      <c r="BD944" s="28">
        <f>G944/(100-BE944)*100</f>
        <v>0</v>
      </c>
      <c r="BE944" s="28">
        <v>0</v>
      </c>
      <c r="BF944" s="28">
        <f>944</f>
        <v>944</v>
      </c>
      <c r="BH944" s="28">
        <f>F944*AO944</f>
        <v>0</v>
      </c>
      <c r="BI944" s="28">
        <f>F944*AP944</f>
        <v>0</v>
      </c>
      <c r="BJ944" s="28">
        <f>F944*G944</f>
        <v>0</v>
      </c>
      <c r="BK944" s="28"/>
      <c r="BL944" s="28">
        <v>722</v>
      </c>
      <c r="BW944" s="28">
        <v>21</v>
      </c>
    </row>
    <row r="945" spans="1:75" x14ac:dyDescent="0.25">
      <c r="A945" s="31"/>
      <c r="C945" s="32" t="s">
        <v>1681</v>
      </c>
      <c r="D945" s="32" t="s">
        <v>52</v>
      </c>
      <c r="F945" s="33">
        <v>1.98</v>
      </c>
      <c r="K945" s="34"/>
    </row>
    <row r="946" spans="1:75" ht="13.5" customHeight="1" x14ac:dyDescent="0.25">
      <c r="A946" s="2" t="s">
        <v>1682</v>
      </c>
      <c r="B946" s="3" t="s">
        <v>1683</v>
      </c>
      <c r="C946" s="83" t="s">
        <v>1684</v>
      </c>
      <c r="D946" s="80"/>
      <c r="E946" s="3" t="s">
        <v>78</v>
      </c>
      <c r="F946" s="28">
        <v>2</v>
      </c>
      <c r="G946" s="28">
        <v>0</v>
      </c>
      <c r="H946" s="28">
        <f>F946*AO946</f>
        <v>0</v>
      </c>
      <c r="I946" s="28">
        <f>F946*AP946</f>
        <v>0</v>
      </c>
      <c r="J946" s="28">
        <f>F946*G946</f>
        <v>0</v>
      </c>
      <c r="K946" s="29" t="s">
        <v>1602</v>
      </c>
      <c r="Z946" s="28">
        <f>IF(AQ946="5",BJ946,0)</f>
        <v>0</v>
      </c>
      <c r="AB946" s="28">
        <f>IF(AQ946="1",BH946,0)</f>
        <v>0</v>
      </c>
      <c r="AC946" s="28">
        <f>IF(AQ946="1",BI946,0)</f>
        <v>0</v>
      </c>
      <c r="AD946" s="28">
        <f>IF(AQ946="7",BH946,0)</f>
        <v>0</v>
      </c>
      <c r="AE946" s="28">
        <f>IF(AQ946="7",BI946,0)</f>
        <v>0</v>
      </c>
      <c r="AF946" s="28">
        <f>IF(AQ946="2",BH946,0)</f>
        <v>0</v>
      </c>
      <c r="AG946" s="28">
        <f>IF(AQ946="2",BI946,0)</f>
        <v>0</v>
      </c>
      <c r="AH946" s="28">
        <f>IF(AQ946="0",BJ946,0)</f>
        <v>0</v>
      </c>
      <c r="AI946" s="10" t="s">
        <v>1547</v>
      </c>
      <c r="AJ946" s="28">
        <f>IF(AN946=0,J946,0)</f>
        <v>0</v>
      </c>
      <c r="AK946" s="28">
        <f>IF(AN946=12,J946,0)</f>
        <v>0</v>
      </c>
      <c r="AL946" s="28">
        <f>IF(AN946=21,J946,0)</f>
        <v>0</v>
      </c>
      <c r="AN946" s="28">
        <v>21</v>
      </c>
      <c r="AO946" s="28">
        <f>G946*0.429852217</f>
        <v>0</v>
      </c>
      <c r="AP946" s="28">
        <f>G946*(1-0.429852217)</f>
        <v>0</v>
      </c>
      <c r="AQ946" s="30" t="s">
        <v>98</v>
      </c>
      <c r="AV946" s="28">
        <f>AW946+AX946</f>
        <v>0</v>
      </c>
      <c r="AW946" s="28">
        <f>F946*AO946</f>
        <v>0</v>
      </c>
      <c r="AX946" s="28">
        <f>F946*AP946</f>
        <v>0</v>
      </c>
      <c r="AY946" s="30" t="s">
        <v>1668</v>
      </c>
      <c r="AZ946" s="30" t="s">
        <v>1621</v>
      </c>
      <c r="BA946" s="10" t="s">
        <v>1553</v>
      </c>
      <c r="BC946" s="28">
        <f>AW946+AX946</f>
        <v>0</v>
      </c>
      <c r="BD946" s="28">
        <f>G946/(100-BE946)*100</f>
        <v>0</v>
      </c>
      <c r="BE946" s="28">
        <v>0</v>
      </c>
      <c r="BF946" s="28">
        <f>946</f>
        <v>946</v>
      </c>
      <c r="BH946" s="28">
        <f>F946*AO946</f>
        <v>0</v>
      </c>
      <c r="BI946" s="28">
        <f>F946*AP946</f>
        <v>0</v>
      </c>
      <c r="BJ946" s="28">
        <f>F946*G946</f>
        <v>0</v>
      </c>
      <c r="BK946" s="28"/>
      <c r="BL946" s="28">
        <v>722</v>
      </c>
      <c r="BW946" s="28">
        <v>21</v>
      </c>
    </row>
    <row r="947" spans="1:75" x14ac:dyDescent="0.25">
      <c r="A947" s="31"/>
      <c r="C947" s="32" t="s">
        <v>68</v>
      </c>
      <c r="D947" s="32" t="s">
        <v>52</v>
      </c>
      <c r="F947" s="33">
        <v>2</v>
      </c>
      <c r="K947" s="34"/>
    </row>
    <row r="948" spans="1:75" ht="13.5" customHeight="1" x14ac:dyDescent="0.25">
      <c r="A948" s="2" t="s">
        <v>1685</v>
      </c>
      <c r="B948" s="3" t="s">
        <v>1686</v>
      </c>
      <c r="C948" s="83" t="s">
        <v>1687</v>
      </c>
      <c r="D948" s="80"/>
      <c r="E948" s="3" t="s">
        <v>78</v>
      </c>
      <c r="F948" s="28">
        <v>41.2</v>
      </c>
      <c r="G948" s="28">
        <v>0</v>
      </c>
      <c r="H948" s="28">
        <f>F948*AO948</f>
        <v>0</v>
      </c>
      <c r="I948" s="28">
        <f>F948*AP948</f>
        <v>0</v>
      </c>
      <c r="J948" s="28">
        <f>F948*G948</f>
        <v>0</v>
      </c>
      <c r="K948" s="29" t="s">
        <v>1474</v>
      </c>
      <c r="Z948" s="28">
        <f>IF(AQ948="5",BJ948,0)</f>
        <v>0</v>
      </c>
      <c r="AB948" s="28">
        <f>IF(AQ948="1",BH948,0)</f>
        <v>0</v>
      </c>
      <c r="AC948" s="28">
        <f>IF(AQ948="1",BI948,0)</f>
        <v>0</v>
      </c>
      <c r="AD948" s="28">
        <f>IF(AQ948="7",BH948,0)</f>
        <v>0</v>
      </c>
      <c r="AE948" s="28">
        <f>IF(AQ948="7",BI948,0)</f>
        <v>0</v>
      </c>
      <c r="AF948" s="28">
        <f>IF(AQ948="2",BH948,0)</f>
        <v>0</v>
      </c>
      <c r="AG948" s="28">
        <f>IF(AQ948="2",BI948,0)</f>
        <v>0</v>
      </c>
      <c r="AH948" s="28">
        <f>IF(AQ948="0",BJ948,0)</f>
        <v>0</v>
      </c>
      <c r="AI948" s="10" t="s">
        <v>1547</v>
      </c>
      <c r="AJ948" s="28">
        <f>IF(AN948=0,J948,0)</f>
        <v>0</v>
      </c>
      <c r="AK948" s="28">
        <f>IF(AN948=12,J948,0)</f>
        <v>0</v>
      </c>
      <c r="AL948" s="28">
        <f>IF(AN948=21,J948,0)</f>
        <v>0</v>
      </c>
      <c r="AN948" s="28">
        <v>21</v>
      </c>
      <c r="AO948" s="28">
        <f>G948*0.014695541</f>
        <v>0</v>
      </c>
      <c r="AP948" s="28">
        <f>G948*(1-0.014695541)</f>
        <v>0</v>
      </c>
      <c r="AQ948" s="30" t="s">
        <v>98</v>
      </c>
      <c r="AV948" s="28">
        <f>AW948+AX948</f>
        <v>0</v>
      </c>
      <c r="AW948" s="28">
        <f>F948*AO948</f>
        <v>0</v>
      </c>
      <c r="AX948" s="28">
        <f>F948*AP948</f>
        <v>0</v>
      </c>
      <c r="AY948" s="30" t="s">
        <v>1668</v>
      </c>
      <c r="AZ948" s="30" t="s">
        <v>1621</v>
      </c>
      <c r="BA948" s="10" t="s">
        <v>1553</v>
      </c>
      <c r="BC948" s="28">
        <f>AW948+AX948</f>
        <v>0</v>
      </c>
      <c r="BD948" s="28">
        <f>G948/(100-BE948)*100</f>
        <v>0</v>
      </c>
      <c r="BE948" s="28">
        <v>0</v>
      </c>
      <c r="BF948" s="28">
        <f>948</f>
        <v>948</v>
      </c>
      <c r="BH948" s="28">
        <f>F948*AO948</f>
        <v>0</v>
      </c>
      <c r="BI948" s="28">
        <f>F948*AP948</f>
        <v>0</v>
      </c>
      <c r="BJ948" s="28">
        <f>F948*G948</f>
        <v>0</v>
      </c>
      <c r="BK948" s="28"/>
      <c r="BL948" s="28">
        <v>722</v>
      </c>
      <c r="BW948" s="28">
        <v>21</v>
      </c>
    </row>
    <row r="949" spans="1:75" x14ac:dyDescent="0.25">
      <c r="A949" s="31"/>
      <c r="C949" s="32" t="s">
        <v>1688</v>
      </c>
      <c r="D949" s="32" t="s">
        <v>52</v>
      </c>
      <c r="F949" s="33">
        <v>41.2</v>
      </c>
      <c r="K949" s="34"/>
    </row>
    <row r="950" spans="1:75" ht="13.5" customHeight="1" x14ac:dyDescent="0.25">
      <c r="A950" s="2" t="s">
        <v>1689</v>
      </c>
      <c r="B950" s="3" t="s">
        <v>1690</v>
      </c>
      <c r="C950" s="83" t="s">
        <v>1691</v>
      </c>
      <c r="D950" s="80"/>
      <c r="E950" s="3" t="s">
        <v>78</v>
      </c>
      <c r="F950" s="28">
        <v>42</v>
      </c>
      <c r="G950" s="28">
        <v>0</v>
      </c>
      <c r="H950" s="28">
        <f>F950*AO950</f>
        <v>0</v>
      </c>
      <c r="I950" s="28">
        <f>F950*AP950</f>
        <v>0</v>
      </c>
      <c r="J950" s="28">
        <f>F950*G950</f>
        <v>0</v>
      </c>
      <c r="K950" s="29" t="s">
        <v>1602</v>
      </c>
      <c r="Z950" s="28">
        <f>IF(AQ950="5",BJ950,0)</f>
        <v>0</v>
      </c>
      <c r="AB950" s="28">
        <f>IF(AQ950="1",BH950,0)</f>
        <v>0</v>
      </c>
      <c r="AC950" s="28">
        <f>IF(AQ950="1",BI950,0)</f>
        <v>0</v>
      </c>
      <c r="AD950" s="28">
        <f>IF(AQ950="7",BH950,0)</f>
        <v>0</v>
      </c>
      <c r="AE950" s="28">
        <f>IF(AQ950="7",BI950,0)</f>
        <v>0</v>
      </c>
      <c r="AF950" s="28">
        <f>IF(AQ950="2",BH950,0)</f>
        <v>0</v>
      </c>
      <c r="AG950" s="28">
        <f>IF(AQ950="2",BI950,0)</f>
        <v>0</v>
      </c>
      <c r="AH950" s="28">
        <f>IF(AQ950="0",BJ950,0)</f>
        <v>0</v>
      </c>
      <c r="AI950" s="10" t="s">
        <v>1547</v>
      </c>
      <c r="AJ950" s="28">
        <f>IF(AN950=0,J950,0)</f>
        <v>0</v>
      </c>
      <c r="AK950" s="28">
        <f>IF(AN950=12,J950,0)</f>
        <v>0</v>
      </c>
      <c r="AL950" s="28">
        <f>IF(AN950=21,J950,0)</f>
        <v>0</v>
      </c>
      <c r="AN950" s="28">
        <v>21</v>
      </c>
      <c r="AO950" s="28">
        <f>G950*0.461674419</f>
        <v>0</v>
      </c>
      <c r="AP950" s="28">
        <f>G950*(1-0.461674419)</f>
        <v>0</v>
      </c>
      <c r="AQ950" s="30" t="s">
        <v>98</v>
      </c>
      <c r="AV950" s="28">
        <f>AW950+AX950</f>
        <v>0</v>
      </c>
      <c r="AW950" s="28">
        <f>F950*AO950</f>
        <v>0</v>
      </c>
      <c r="AX950" s="28">
        <f>F950*AP950</f>
        <v>0</v>
      </c>
      <c r="AY950" s="30" t="s">
        <v>1668</v>
      </c>
      <c r="AZ950" s="30" t="s">
        <v>1621</v>
      </c>
      <c r="BA950" s="10" t="s">
        <v>1553</v>
      </c>
      <c r="BC950" s="28">
        <f>AW950+AX950</f>
        <v>0</v>
      </c>
      <c r="BD950" s="28">
        <f>G950/(100-BE950)*100</f>
        <v>0</v>
      </c>
      <c r="BE950" s="28">
        <v>0</v>
      </c>
      <c r="BF950" s="28">
        <f>950</f>
        <v>950</v>
      </c>
      <c r="BH950" s="28">
        <f>F950*AO950</f>
        <v>0</v>
      </c>
      <c r="BI950" s="28">
        <f>F950*AP950</f>
        <v>0</v>
      </c>
      <c r="BJ950" s="28">
        <f>F950*G950</f>
        <v>0</v>
      </c>
      <c r="BK950" s="28"/>
      <c r="BL950" s="28">
        <v>722</v>
      </c>
      <c r="BW950" s="28">
        <v>21</v>
      </c>
    </row>
    <row r="951" spans="1:75" x14ac:dyDescent="0.25">
      <c r="A951" s="31"/>
      <c r="C951" s="32" t="s">
        <v>303</v>
      </c>
      <c r="D951" s="32" t="s">
        <v>52</v>
      </c>
      <c r="F951" s="33">
        <v>42</v>
      </c>
      <c r="K951" s="34"/>
    </row>
    <row r="952" spans="1:75" ht="13.5" customHeight="1" x14ac:dyDescent="0.25">
      <c r="A952" s="2" t="s">
        <v>1692</v>
      </c>
      <c r="B952" s="3" t="s">
        <v>1693</v>
      </c>
      <c r="C952" s="83" t="s">
        <v>1694</v>
      </c>
      <c r="D952" s="80"/>
      <c r="E952" s="3" t="s">
        <v>78</v>
      </c>
      <c r="F952" s="28">
        <v>2</v>
      </c>
      <c r="G952" s="28">
        <v>0</v>
      </c>
      <c r="H952" s="28">
        <f>F952*AO952</f>
        <v>0</v>
      </c>
      <c r="I952" s="28">
        <f>F952*AP952</f>
        <v>0</v>
      </c>
      <c r="J952" s="28">
        <f>F952*G952</f>
        <v>0</v>
      </c>
      <c r="K952" s="29" t="s">
        <v>1602</v>
      </c>
      <c r="Z952" s="28">
        <f>IF(AQ952="5",BJ952,0)</f>
        <v>0</v>
      </c>
      <c r="AB952" s="28">
        <f>IF(AQ952="1",BH952,0)</f>
        <v>0</v>
      </c>
      <c r="AC952" s="28">
        <f>IF(AQ952="1",BI952,0)</f>
        <v>0</v>
      </c>
      <c r="AD952" s="28">
        <f>IF(AQ952="7",BH952,0)</f>
        <v>0</v>
      </c>
      <c r="AE952" s="28">
        <f>IF(AQ952="7",BI952,0)</f>
        <v>0</v>
      </c>
      <c r="AF952" s="28">
        <f>IF(AQ952="2",BH952,0)</f>
        <v>0</v>
      </c>
      <c r="AG952" s="28">
        <f>IF(AQ952="2",BI952,0)</f>
        <v>0</v>
      </c>
      <c r="AH952" s="28">
        <f>IF(AQ952="0",BJ952,0)</f>
        <v>0</v>
      </c>
      <c r="AI952" s="10" t="s">
        <v>1547</v>
      </c>
      <c r="AJ952" s="28">
        <f>IF(AN952=0,J952,0)</f>
        <v>0</v>
      </c>
      <c r="AK952" s="28">
        <f>IF(AN952=12,J952,0)</f>
        <v>0</v>
      </c>
      <c r="AL952" s="28">
        <f>IF(AN952=21,J952,0)</f>
        <v>0</v>
      </c>
      <c r="AN952" s="28">
        <v>21</v>
      </c>
      <c r="AO952" s="28">
        <f>G952*0.469166667</f>
        <v>0</v>
      </c>
      <c r="AP952" s="28">
        <f>G952*(1-0.469166667)</f>
        <v>0</v>
      </c>
      <c r="AQ952" s="30" t="s">
        <v>98</v>
      </c>
      <c r="AV952" s="28">
        <f>AW952+AX952</f>
        <v>0</v>
      </c>
      <c r="AW952" s="28">
        <f>F952*AO952</f>
        <v>0</v>
      </c>
      <c r="AX952" s="28">
        <f>F952*AP952</f>
        <v>0</v>
      </c>
      <c r="AY952" s="30" t="s">
        <v>1668</v>
      </c>
      <c r="AZ952" s="30" t="s">
        <v>1621</v>
      </c>
      <c r="BA952" s="10" t="s">
        <v>1553</v>
      </c>
      <c r="BC952" s="28">
        <f>AW952+AX952</f>
        <v>0</v>
      </c>
      <c r="BD952" s="28">
        <f>G952/(100-BE952)*100</f>
        <v>0</v>
      </c>
      <c r="BE952" s="28">
        <v>0</v>
      </c>
      <c r="BF952" s="28">
        <f>952</f>
        <v>952</v>
      </c>
      <c r="BH952" s="28">
        <f>F952*AO952</f>
        <v>0</v>
      </c>
      <c r="BI952" s="28">
        <f>F952*AP952</f>
        <v>0</v>
      </c>
      <c r="BJ952" s="28">
        <f>F952*G952</f>
        <v>0</v>
      </c>
      <c r="BK952" s="28"/>
      <c r="BL952" s="28">
        <v>722</v>
      </c>
      <c r="BW952" s="28">
        <v>21</v>
      </c>
    </row>
    <row r="953" spans="1:75" x14ac:dyDescent="0.25">
      <c r="A953" s="31"/>
      <c r="C953" s="32" t="s">
        <v>68</v>
      </c>
      <c r="D953" s="32" t="s">
        <v>52</v>
      </c>
      <c r="F953" s="33">
        <v>2</v>
      </c>
      <c r="K953" s="34"/>
    </row>
    <row r="954" spans="1:75" ht="13.5" customHeight="1" x14ac:dyDescent="0.25">
      <c r="A954" s="2" t="s">
        <v>1695</v>
      </c>
      <c r="B954" s="3" t="s">
        <v>1696</v>
      </c>
      <c r="C954" s="83" t="s">
        <v>1697</v>
      </c>
      <c r="D954" s="80"/>
      <c r="E954" s="3" t="s">
        <v>78</v>
      </c>
      <c r="F954" s="28">
        <v>2.2000000000000002</v>
      </c>
      <c r="G954" s="28">
        <v>0</v>
      </c>
      <c r="H954" s="28">
        <f>F954*AO954</f>
        <v>0</v>
      </c>
      <c r="I954" s="28">
        <f>F954*AP954</f>
        <v>0</v>
      </c>
      <c r="J954" s="28">
        <f>F954*G954</f>
        <v>0</v>
      </c>
      <c r="K954" s="29" t="s">
        <v>61</v>
      </c>
      <c r="Z954" s="28">
        <f>IF(AQ954="5",BJ954,0)</f>
        <v>0</v>
      </c>
      <c r="AB954" s="28">
        <f>IF(AQ954="1",BH954,0)</f>
        <v>0</v>
      </c>
      <c r="AC954" s="28">
        <f>IF(AQ954="1",BI954,0)</f>
        <v>0</v>
      </c>
      <c r="AD954" s="28">
        <f>IF(AQ954="7",BH954,0)</f>
        <v>0</v>
      </c>
      <c r="AE954" s="28">
        <f>IF(AQ954="7",BI954,0)</f>
        <v>0</v>
      </c>
      <c r="AF954" s="28">
        <f>IF(AQ954="2",BH954,0)</f>
        <v>0</v>
      </c>
      <c r="AG954" s="28">
        <f>IF(AQ954="2",BI954,0)</f>
        <v>0</v>
      </c>
      <c r="AH954" s="28">
        <f>IF(AQ954="0",BJ954,0)</f>
        <v>0</v>
      </c>
      <c r="AI954" s="10" t="s">
        <v>1547</v>
      </c>
      <c r="AJ954" s="28">
        <f>IF(AN954=0,J954,0)</f>
        <v>0</v>
      </c>
      <c r="AK954" s="28">
        <f>IF(AN954=12,J954,0)</f>
        <v>0</v>
      </c>
      <c r="AL954" s="28">
        <f>IF(AN954=21,J954,0)</f>
        <v>0</v>
      </c>
      <c r="AN954" s="28">
        <v>21</v>
      </c>
      <c r="AO954" s="28">
        <f>G954*0.415716672</f>
        <v>0</v>
      </c>
      <c r="AP954" s="28">
        <f>G954*(1-0.415716672)</f>
        <v>0</v>
      </c>
      <c r="AQ954" s="30" t="s">
        <v>98</v>
      </c>
      <c r="AV954" s="28">
        <f>AW954+AX954</f>
        <v>0</v>
      </c>
      <c r="AW954" s="28">
        <f>F954*AO954</f>
        <v>0</v>
      </c>
      <c r="AX954" s="28">
        <f>F954*AP954</f>
        <v>0</v>
      </c>
      <c r="AY954" s="30" t="s">
        <v>1668</v>
      </c>
      <c r="AZ954" s="30" t="s">
        <v>1621</v>
      </c>
      <c r="BA954" s="10" t="s">
        <v>1553</v>
      </c>
      <c r="BC954" s="28">
        <f>AW954+AX954</f>
        <v>0</v>
      </c>
      <c r="BD954" s="28">
        <f>G954/(100-BE954)*100</f>
        <v>0</v>
      </c>
      <c r="BE954" s="28">
        <v>0</v>
      </c>
      <c r="BF954" s="28">
        <f>954</f>
        <v>954</v>
      </c>
      <c r="BH954" s="28">
        <f>F954*AO954</f>
        <v>0</v>
      </c>
      <c r="BI954" s="28">
        <f>F954*AP954</f>
        <v>0</v>
      </c>
      <c r="BJ954" s="28">
        <f>F954*G954</f>
        <v>0</v>
      </c>
      <c r="BK954" s="28"/>
      <c r="BL954" s="28">
        <v>722</v>
      </c>
      <c r="BW954" s="28">
        <v>21</v>
      </c>
    </row>
    <row r="955" spans="1:75" x14ac:dyDescent="0.25">
      <c r="A955" s="31"/>
      <c r="C955" s="32" t="s">
        <v>1698</v>
      </c>
      <c r="D955" s="32" t="s">
        <v>1699</v>
      </c>
      <c r="F955" s="33">
        <v>2.2000000000000002</v>
      </c>
      <c r="K955" s="34"/>
    </row>
    <row r="956" spans="1:75" ht="13.5" customHeight="1" x14ac:dyDescent="0.25">
      <c r="A956" s="2" t="s">
        <v>1700</v>
      </c>
      <c r="B956" s="3" t="s">
        <v>1701</v>
      </c>
      <c r="C956" s="83" t="s">
        <v>1702</v>
      </c>
      <c r="D956" s="80"/>
      <c r="E956" s="3" t="s">
        <v>531</v>
      </c>
      <c r="F956" s="28">
        <v>1</v>
      </c>
      <c r="G956" s="28">
        <v>0</v>
      </c>
      <c r="H956" s="28">
        <f>F956*AO956</f>
        <v>0</v>
      </c>
      <c r="I956" s="28">
        <f>F956*AP956</f>
        <v>0</v>
      </c>
      <c r="J956" s="28">
        <f>F956*G956</f>
        <v>0</v>
      </c>
      <c r="K956" s="29" t="s">
        <v>52</v>
      </c>
      <c r="Z956" s="28">
        <f>IF(AQ956="5",BJ956,0)</f>
        <v>0</v>
      </c>
      <c r="AB956" s="28">
        <f>IF(AQ956="1",BH956,0)</f>
        <v>0</v>
      </c>
      <c r="AC956" s="28">
        <f>IF(AQ956="1",BI956,0)</f>
        <v>0</v>
      </c>
      <c r="AD956" s="28">
        <f>IF(AQ956="7",BH956,0)</f>
        <v>0</v>
      </c>
      <c r="AE956" s="28">
        <f>IF(AQ956="7",BI956,0)</f>
        <v>0</v>
      </c>
      <c r="AF956" s="28">
        <f>IF(AQ956="2",BH956,0)</f>
        <v>0</v>
      </c>
      <c r="AG956" s="28">
        <f>IF(AQ956="2",BI956,0)</f>
        <v>0</v>
      </c>
      <c r="AH956" s="28">
        <f>IF(AQ956="0",BJ956,0)</f>
        <v>0</v>
      </c>
      <c r="AI956" s="10" t="s">
        <v>1547</v>
      </c>
      <c r="AJ956" s="28">
        <f>IF(AN956=0,J956,0)</f>
        <v>0</v>
      </c>
      <c r="AK956" s="28">
        <f>IF(AN956=12,J956,0)</f>
        <v>0</v>
      </c>
      <c r="AL956" s="28">
        <f>IF(AN956=21,J956,0)</f>
        <v>0</v>
      </c>
      <c r="AN956" s="28">
        <v>21</v>
      </c>
      <c r="AO956" s="28">
        <f>G956*0</f>
        <v>0</v>
      </c>
      <c r="AP956" s="28">
        <f>G956*(1-0)</f>
        <v>0</v>
      </c>
      <c r="AQ956" s="30" t="s">
        <v>98</v>
      </c>
      <c r="AV956" s="28">
        <f>AW956+AX956</f>
        <v>0</v>
      </c>
      <c r="AW956" s="28">
        <f>F956*AO956</f>
        <v>0</v>
      </c>
      <c r="AX956" s="28">
        <f>F956*AP956</f>
        <v>0</v>
      </c>
      <c r="AY956" s="30" t="s">
        <v>1668</v>
      </c>
      <c r="AZ956" s="30" t="s">
        <v>1621</v>
      </c>
      <c r="BA956" s="10" t="s">
        <v>1553</v>
      </c>
      <c r="BC956" s="28">
        <f>AW956+AX956</f>
        <v>0</v>
      </c>
      <c r="BD956" s="28">
        <f>G956/(100-BE956)*100</f>
        <v>0</v>
      </c>
      <c r="BE956" s="28">
        <v>0</v>
      </c>
      <c r="BF956" s="28">
        <f>956</f>
        <v>956</v>
      </c>
      <c r="BH956" s="28">
        <f>F956*AO956</f>
        <v>0</v>
      </c>
      <c r="BI956" s="28">
        <f>F956*AP956</f>
        <v>0</v>
      </c>
      <c r="BJ956" s="28">
        <f>F956*G956</f>
        <v>0</v>
      </c>
      <c r="BK956" s="28"/>
      <c r="BL956" s="28">
        <v>722</v>
      </c>
      <c r="BW956" s="28">
        <v>21</v>
      </c>
    </row>
    <row r="957" spans="1:75" x14ac:dyDescent="0.25">
      <c r="A957" s="31"/>
      <c r="C957" s="32" t="s">
        <v>57</v>
      </c>
      <c r="D957" s="32" t="s">
        <v>52</v>
      </c>
      <c r="F957" s="33">
        <v>1</v>
      </c>
      <c r="K957" s="34"/>
    </row>
    <row r="958" spans="1:75" ht="13.5" customHeight="1" x14ac:dyDescent="0.25">
      <c r="A958" s="2" t="s">
        <v>1703</v>
      </c>
      <c r="B958" s="3" t="s">
        <v>1597</v>
      </c>
      <c r="C958" s="83" t="s">
        <v>1704</v>
      </c>
      <c r="D958" s="80"/>
      <c r="E958" s="3" t="s">
        <v>531</v>
      </c>
      <c r="F958" s="28">
        <v>1</v>
      </c>
      <c r="G958" s="28">
        <v>0</v>
      </c>
      <c r="H958" s="28">
        <f>F958*AO958</f>
        <v>0</v>
      </c>
      <c r="I958" s="28">
        <f>F958*AP958</f>
        <v>0</v>
      </c>
      <c r="J958" s="28">
        <f>F958*G958</f>
        <v>0</v>
      </c>
      <c r="K958" s="29" t="s">
        <v>52</v>
      </c>
      <c r="Z958" s="28">
        <f>IF(AQ958="5",BJ958,0)</f>
        <v>0</v>
      </c>
      <c r="AB958" s="28">
        <f>IF(AQ958="1",BH958,0)</f>
        <v>0</v>
      </c>
      <c r="AC958" s="28">
        <f>IF(AQ958="1",BI958,0)</f>
        <v>0</v>
      </c>
      <c r="AD958" s="28">
        <f>IF(AQ958="7",BH958,0)</f>
        <v>0</v>
      </c>
      <c r="AE958" s="28">
        <f>IF(AQ958="7",BI958,0)</f>
        <v>0</v>
      </c>
      <c r="AF958" s="28">
        <f>IF(AQ958="2",BH958,0)</f>
        <v>0</v>
      </c>
      <c r="AG958" s="28">
        <f>IF(AQ958="2",BI958,0)</f>
        <v>0</v>
      </c>
      <c r="AH958" s="28">
        <f>IF(AQ958="0",BJ958,0)</f>
        <v>0</v>
      </c>
      <c r="AI958" s="10" t="s">
        <v>1547</v>
      </c>
      <c r="AJ958" s="28">
        <f>IF(AN958=0,J958,0)</f>
        <v>0</v>
      </c>
      <c r="AK958" s="28">
        <f>IF(AN958=12,J958,0)</f>
        <v>0</v>
      </c>
      <c r="AL958" s="28">
        <f>IF(AN958=21,J958,0)</f>
        <v>0</v>
      </c>
      <c r="AN958" s="28">
        <v>21</v>
      </c>
      <c r="AO958" s="28">
        <f>G958*1</f>
        <v>0</v>
      </c>
      <c r="AP958" s="28">
        <f>G958*(1-1)</f>
        <v>0</v>
      </c>
      <c r="AQ958" s="30" t="s">
        <v>98</v>
      </c>
      <c r="AV958" s="28">
        <f>AW958+AX958</f>
        <v>0</v>
      </c>
      <c r="AW958" s="28">
        <f>F958*AO958</f>
        <v>0</v>
      </c>
      <c r="AX958" s="28">
        <f>F958*AP958</f>
        <v>0</v>
      </c>
      <c r="AY958" s="30" t="s">
        <v>1668</v>
      </c>
      <c r="AZ958" s="30" t="s">
        <v>1621</v>
      </c>
      <c r="BA958" s="10" t="s">
        <v>1553</v>
      </c>
      <c r="BC958" s="28">
        <f>AW958+AX958</f>
        <v>0</v>
      </c>
      <c r="BD958" s="28">
        <f>G958/(100-BE958)*100</f>
        <v>0</v>
      </c>
      <c r="BE958" s="28">
        <v>0</v>
      </c>
      <c r="BF958" s="28">
        <f>958</f>
        <v>958</v>
      </c>
      <c r="BH958" s="28">
        <f>F958*AO958</f>
        <v>0</v>
      </c>
      <c r="BI958" s="28">
        <f>F958*AP958</f>
        <v>0</v>
      </c>
      <c r="BJ958" s="28">
        <f>F958*G958</f>
        <v>0</v>
      </c>
      <c r="BK958" s="28"/>
      <c r="BL958" s="28">
        <v>722</v>
      </c>
      <c r="BW958" s="28">
        <v>21</v>
      </c>
    </row>
    <row r="959" spans="1:75" x14ac:dyDescent="0.25">
      <c r="A959" s="31"/>
      <c r="C959" s="32" t="s">
        <v>57</v>
      </c>
      <c r="D959" s="32" t="s">
        <v>52</v>
      </c>
      <c r="F959" s="33">
        <v>1</v>
      </c>
      <c r="K959" s="34"/>
    </row>
    <row r="960" spans="1:75" ht="13.5" customHeight="1" x14ac:dyDescent="0.25">
      <c r="A960" s="2" t="s">
        <v>1705</v>
      </c>
      <c r="B960" s="3" t="s">
        <v>1706</v>
      </c>
      <c r="C960" s="83" t="s">
        <v>1707</v>
      </c>
      <c r="D960" s="80"/>
      <c r="E960" s="3" t="s">
        <v>71</v>
      </c>
      <c r="F960" s="28">
        <v>6.5000000000000002E-2</v>
      </c>
      <c r="G960" s="28">
        <v>0</v>
      </c>
      <c r="H960" s="28">
        <f>F960*AO960</f>
        <v>0</v>
      </c>
      <c r="I960" s="28">
        <f>F960*AP960</f>
        <v>0</v>
      </c>
      <c r="J960" s="28">
        <f>F960*G960</f>
        <v>0</v>
      </c>
      <c r="K960" s="29" t="s">
        <v>1602</v>
      </c>
      <c r="Z960" s="28">
        <f>IF(AQ960="5",BJ960,0)</f>
        <v>0</v>
      </c>
      <c r="AB960" s="28">
        <f>IF(AQ960="1",BH960,0)</f>
        <v>0</v>
      </c>
      <c r="AC960" s="28">
        <f>IF(AQ960="1",BI960,0)</f>
        <v>0</v>
      </c>
      <c r="AD960" s="28">
        <f>IF(AQ960="7",BH960,0)</f>
        <v>0</v>
      </c>
      <c r="AE960" s="28">
        <f>IF(AQ960="7",BI960,0)</f>
        <v>0</v>
      </c>
      <c r="AF960" s="28">
        <f>IF(AQ960="2",BH960,0)</f>
        <v>0</v>
      </c>
      <c r="AG960" s="28">
        <f>IF(AQ960="2",BI960,0)</f>
        <v>0</v>
      </c>
      <c r="AH960" s="28">
        <f>IF(AQ960="0",BJ960,0)</f>
        <v>0</v>
      </c>
      <c r="AI960" s="10" t="s">
        <v>1547</v>
      </c>
      <c r="AJ960" s="28">
        <f>IF(AN960=0,J960,0)</f>
        <v>0</v>
      </c>
      <c r="AK960" s="28">
        <f>IF(AN960=12,J960,0)</f>
        <v>0</v>
      </c>
      <c r="AL960" s="28">
        <f>IF(AN960=21,J960,0)</f>
        <v>0</v>
      </c>
      <c r="AN960" s="28">
        <v>21</v>
      </c>
      <c r="AO960" s="28">
        <f>G960*0</f>
        <v>0</v>
      </c>
      <c r="AP960" s="28">
        <f>G960*(1-0)</f>
        <v>0</v>
      </c>
      <c r="AQ960" s="30" t="s">
        <v>87</v>
      </c>
      <c r="AV960" s="28">
        <f>AW960+AX960</f>
        <v>0</v>
      </c>
      <c r="AW960" s="28">
        <f>F960*AO960</f>
        <v>0</v>
      </c>
      <c r="AX960" s="28">
        <f>F960*AP960</f>
        <v>0</v>
      </c>
      <c r="AY960" s="30" t="s">
        <v>1668</v>
      </c>
      <c r="AZ960" s="30" t="s">
        <v>1621</v>
      </c>
      <c r="BA960" s="10" t="s">
        <v>1553</v>
      </c>
      <c r="BC960" s="28">
        <f>AW960+AX960</f>
        <v>0</v>
      </c>
      <c r="BD960" s="28">
        <f>G960/(100-BE960)*100</f>
        <v>0</v>
      </c>
      <c r="BE960" s="28">
        <v>0</v>
      </c>
      <c r="BF960" s="28">
        <f>960</f>
        <v>960</v>
      </c>
      <c r="BH960" s="28">
        <f>F960*AO960</f>
        <v>0</v>
      </c>
      <c r="BI960" s="28">
        <f>F960*AP960</f>
        <v>0</v>
      </c>
      <c r="BJ960" s="28">
        <f>F960*G960</f>
        <v>0</v>
      </c>
      <c r="BK960" s="28"/>
      <c r="BL960" s="28">
        <v>722</v>
      </c>
      <c r="BW960" s="28">
        <v>21</v>
      </c>
    </row>
    <row r="961" spans="1:75" x14ac:dyDescent="0.25">
      <c r="A961" s="31"/>
      <c r="C961" s="32" t="s">
        <v>1708</v>
      </c>
      <c r="D961" s="32" t="s">
        <v>52</v>
      </c>
      <c r="F961" s="33">
        <v>6.5000000000000002E-2</v>
      </c>
      <c r="K961" s="34"/>
    </row>
    <row r="962" spans="1:75" x14ac:dyDescent="0.25">
      <c r="A962" s="24" t="s">
        <v>52</v>
      </c>
      <c r="B962" s="25" t="s">
        <v>1709</v>
      </c>
      <c r="C962" s="139" t="s">
        <v>1710</v>
      </c>
      <c r="D962" s="140"/>
      <c r="E962" s="26" t="s">
        <v>4</v>
      </c>
      <c r="F962" s="26" t="s">
        <v>4</v>
      </c>
      <c r="G962" s="26" t="s">
        <v>4</v>
      </c>
      <c r="H962" s="1">
        <f>SUM(H963:H981)</f>
        <v>0</v>
      </c>
      <c r="I962" s="1">
        <f>SUM(I963:I981)</f>
        <v>0</v>
      </c>
      <c r="J962" s="1">
        <f>SUM(J963:J981)</f>
        <v>0</v>
      </c>
      <c r="K962" s="27" t="s">
        <v>52</v>
      </c>
      <c r="AI962" s="10" t="s">
        <v>1547</v>
      </c>
      <c r="AS962" s="1">
        <f>SUM(AJ963:AJ981)</f>
        <v>0</v>
      </c>
      <c r="AT962" s="1">
        <f>SUM(AK963:AK981)</f>
        <v>0</v>
      </c>
      <c r="AU962" s="1">
        <f>SUM(AL963:AL981)</f>
        <v>0</v>
      </c>
    </row>
    <row r="963" spans="1:75" ht="13.5" customHeight="1" x14ac:dyDescent="0.25">
      <c r="A963" s="2" t="s">
        <v>1711</v>
      </c>
      <c r="B963" s="3" t="s">
        <v>1712</v>
      </c>
      <c r="C963" s="83" t="s">
        <v>1713</v>
      </c>
      <c r="D963" s="80"/>
      <c r="E963" s="3" t="s">
        <v>137</v>
      </c>
      <c r="F963" s="28">
        <v>1</v>
      </c>
      <c r="G963" s="28">
        <v>0</v>
      </c>
      <c r="H963" s="28">
        <f>F963*AO963</f>
        <v>0</v>
      </c>
      <c r="I963" s="28">
        <f>F963*AP963</f>
        <v>0</v>
      </c>
      <c r="J963" s="28">
        <f>F963*G963</f>
        <v>0</v>
      </c>
      <c r="K963" s="29" t="s">
        <v>61</v>
      </c>
      <c r="Z963" s="28">
        <f>IF(AQ963="5",BJ963,0)</f>
        <v>0</v>
      </c>
      <c r="AB963" s="28">
        <f>IF(AQ963="1",BH963,0)</f>
        <v>0</v>
      </c>
      <c r="AC963" s="28">
        <f>IF(AQ963="1",BI963,0)</f>
        <v>0</v>
      </c>
      <c r="AD963" s="28">
        <f>IF(AQ963="7",BH963,0)</f>
        <v>0</v>
      </c>
      <c r="AE963" s="28">
        <f>IF(AQ963="7",BI963,0)</f>
        <v>0</v>
      </c>
      <c r="AF963" s="28">
        <f>IF(AQ963="2",BH963,0)</f>
        <v>0</v>
      </c>
      <c r="AG963" s="28">
        <f>IF(AQ963="2",BI963,0)</f>
        <v>0</v>
      </c>
      <c r="AH963" s="28">
        <f>IF(AQ963="0",BJ963,0)</f>
        <v>0</v>
      </c>
      <c r="AI963" s="10" t="s">
        <v>1547</v>
      </c>
      <c r="AJ963" s="28">
        <f>IF(AN963=0,J963,0)</f>
        <v>0</v>
      </c>
      <c r="AK963" s="28">
        <f>IF(AN963=12,J963,0)</f>
        <v>0</v>
      </c>
      <c r="AL963" s="28">
        <f>IF(AN963=21,J963,0)</f>
        <v>0</v>
      </c>
      <c r="AN963" s="28">
        <v>21</v>
      </c>
      <c r="AO963" s="28">
        <f>G963*0</f>
        <v>0</v>
      </c>
      <c r="AP963" s="28">
        <f>G963*(1-0)</f>
        <v>0</v>
      </c>
      <c r="AQ963" s="30" t="s">
        <v>98</v>
      </c>
      <c r="AV963" s="28">
        <f>AW963+AX963</f>
        <v>0</v>
      </c>
      <c r="AW963" s="28">
        <f>F963*AO963</f>
        <v>0</v>
      </c>
      <c r="AX963" s="28">
        <f>F963*AP963</f>
        <v>0</v>
      </c>
      <c r="AY963" s="30" t="s">
        <v>1714</v>
      </c>
      <c r="AZ963" s="30" t="s">
        <v>1621</v>
      </c>
      <c r="BA963" s="10" t="s">
        <v>1553</v>
      </c>
      <c r="BC963" s="28">
        <f>AW963+AX963</f>
        <v>0</v>
      </c>
      <c r="BD963" s="28">
        <f>G963/(100-BE963)*100</f>
        <v>0</v>
      </c>
      <c r="BE963" s="28">
        <v>0</v>
      </c>
      <c r="BF963" s="28">
        <f>963</f>
        <v>963</v>
      </c>
      <c r="BH963" s="28">
        <f>F963*AO963</f>
        <v>0</v>
      </c>
      <c r="BI963" s="28">
        <f>F963*AP963</f>
        <v>0</v>
      </c>
      <c r="BJ963" s="28">
        <f>F963*G963</f>
        <v>0</v>
      </c>
      <c r="BK963" s="28"/>
      <c r="BL963" s="28">
        <v>725</v>
      </c>
      <c r="BW963" s="28">
        <v>21</v>
      </c>
    </row>
    <row r="964" spans="1:75" x14ac:dyDescent="0.25">
      <c r="A964" s="31"/>
      <c r="C964" s="32" t="s">
        <v>57</v>
      </c>
      <c r="D964" s="32" t="s">
        <v>52</v>
      </c>
      <c r="F964" s="33">
        <v>1</v>
      </c>
      <c r="K964" s="34"/>
    </row>
    <row r="965" spans="1:75" ht="13.5" customHeight="1" x14ac:dyDescent="0.25">
      <c r="A965" s="2" t="s">
        <v>1715</v>
      </c>
      <c r="B965" s="3" t="s">
        <v>1716</v>
      </c>
      <c r="C965" s="83" t="s">
        <v>1717</v>
      </c>
      <c r="D965" s="80"/>
      <c r="E965" s="3" t="s">
        <v>167</v>
      </c>
      <c r="F965" s="28">
        <v>1</v>
      </c>
      <c r="G965" s="28">
        <v>0</v>
      </c>
      <c r="H965" s="28">
        <f>F965*AO965</f>
        <v>0</v>
      </c>
      <c r="I965" s="28">
        <f>F965*AP965</f>
        <v>0</v>
      </c>
      <c r="J965" s="28">
        <f>F965*G965</f>
        <v>0</v>
      </c>
      <c r="K965" s="29" t="s">
        <v>1602</v>
      </c>
      <c r="Z965" s="28">
        <f>IF(AQ965="5",BJ965,0)</f>
        <v>0</v>
      </c>
      <c r="AB965" s="28">
        <f>IF(AQ965="1",BH965,0)</f>
        <v>0</v>
      </c>
      <c r="AC965" s="28">
        <f>IF(AQ965="1",BI965,0)</f>
        <v>0</v>
      </c>
      <c r="AD965" s="28">
        <f>IF(AQ965="7",BH965,0)</f>
        <v>0</v>
      </c>
      <c r="AE965" s="28">
        <f>IF(AQ965="7",BI965,0)</f>
        <v>0</v>
      </c>
      <c r="AF965" s="28">
        <f>IF(AQ965="2",BH965,0)</f>
        <v>0</v>
      </c>
      <c r="AG965" s="28">
        <f>IF(AQ965="2",BI965,0)</f>
        <v>0</v>
      </c>
      <c r="AH965" s="28">
        <f>IF(AQ965="0",BJ965,0)</f>
        <v>0</v>
      </c>
      <c r="AI965" s="10" t="s">
        <v>1547</v>
      </c>
      <c r="AJ965" s="28">
        <f>IF(AN965=0,J965,0)</f>
        <v>0</v>
      </c>
      <c r="AK965" s="28">
        <f>IF(AN965=12,J965,0)</f>
        <v>0</v>
      </c>
      <c r="AL965" s="28">
        <f>IF(AN965=21,J965,0)</f>
        <v>0</v>
      </c>
      <c r="AN965" s="28">
        <v>21</v>
      </c>
      <c r="AO965" s="28">
        <f>G965*0.114393758</f>
        <v>0</v>
      </c>
      <c r="AP965" s="28">
        <f>G965*(1-0.114393758)</f>
        <v>0</v>
      </c>
      <c r="AQ965" s="30" t="s">
        <v>98</v>
      </c>
      <c r="AV965" s="28">
        <f>AW965+AX965</f>
        <v>0</v>
      </c>
      <c r="AW965" s="28">
        <f>F965*AO965</f>
        <v>0</v>
      </c>
      <c r="AX965" s="28">
        <f>F965*AP965</f>
        <v>0</v>
      </c>
      <c r="AY965" s="30" t="s">
        <v>1714</v>
      </c>
      <c r="AZ965" s="30" t="s">
        <v>1621</v>
      </c>
      <c r="BA965" s="10" t="s">
        <v>1553</v>
      </c>
      <c r="BC965" s="28">
        <f>AW965+AX965</f>
        <v>0</v>
      </c>
      <c r="BD965" s="28">
        <f>G965/(100-BE965)*100</f>
        <v>0</v>
      </c>
      <c r="BE965" s="28">
        <v>0</v>
      </c>
      <c r="BF965" s="28">
        <f>965</f>
        <v>965</v>
      </c>
      <c r="BH965" s="28">
        <f>F965*AO965</f>
        <v>0</v>
      </c>
      <c r="BI965" s="28">
        <f>F965*AP965</f>
        <v>0</v>
      </c>
      <c r="BJ965" s="28">
        <f>F965*G965</f>
        <v>0</v>
      </c>
      <c r="BK965" s="28"/>
      <c r="BL965" s="28">
        <v>725</v>
      </c>
      <c r="BW965" s="28">
        <v>21</v>
      </c>
    </row>
    <row r="966" spans="1:75" x14ac:dyDescent="0.25">
      <c r="A966" s="31"/>
      <c r="C966" s="32" t="s">
        <v>57</v>
      </c>
      <c r="D966" s="32" t="s">
        <v>52</v>
      </c>
      <c r="F966" s="33">
        <v>1</v>
      </c>
      <c r="K966" s="34"/>
    </row>
    <row r="967" spans="1:75" ht="27" customHeight="1" x14ac:dyDescent="0.25">
      <c r="A967" s="2" t="s">
        <v>1718</v>
      </c>
      <c r="B967" s="3" t="s">
        <v>1719</v>
      </c>
      <c r="C967" s="83" t="s">
        <v>1720</v>
      </c>
      <c r="D967" s="80"/>
      <c r="E967" s="3" t="s">
        <v>167</v>
      </c>
      <c r="F967" s="28">
        <v>1</v>
      </c>
      <c r="G967" s="28">
        <v>0</v>
      </c>
      <c r="H967" s="28">
        <f>F967*AO967</f>
        <v>0</v>
      </c>
      <c r="I967" s="28">
        <f>F967*AP967</f>
        <v>0</v>
      </c>
      <c r="J967" s="28">
        <f>F967*G967</f>
        <v>0</v>
      </c>
      <c r="K967" s="29" t="s">
        <v>1602</v>
      </c>
      <c r="Z967" s="28">
        <f>IF(AQ967="5",BJ967,0)</f>
        <v>0</v>
      </c>
      <c r="AB967" s="28">
        <f>IF(AQ967="1",BH967,0)</f>
        <v>0</v>
      </c>
      <c r="AC967" s="28">
        <f>IF(AQ967="1",BI967,0)</f>
        <v>0</v>
      </c>
      <c r="AD967" s="28">
        <f>IF(AQ967="7",BH967,0)</f>
        <v>0</v>
      </c>
      <c r="AE967" s="28">
        <f>IF(AQ967="7",BI967,0)</f>
        <v>0</v>
      </c>
      <c r="AF967" s="28">
        <f>IF(AQ967="2",BH967,0)</f>
        <v>0</v>
      </c>
      <c r="AG967" s="28">
        <f>IF(AQ967="2",BI967,0)</f>
        <v>0</v>
      </c>
      <c r="AH967" s="28">
        <f>IF(AQ967="0",BJ967,0)</f>
        <v>0</v>
      </c>
      <c r="AI967" s="10" t="s">
        <v>1547</v>
      </c>
      <c r="AJ967" s="28">
        <f>IF(AN967=0,J967,0)</f>
        <v>0</v>
      </c>
      <c r="AK967" s="28">
        <f>IF(AN967=12,J967,0)</f>
        <v>0</v>
      </c>
      <c r="AL967" s="28">
        <f>IF(AN967=21,J967,0)</f>
        <v>0</v>
      </c>
      <c r="AN967" s="28">
        <v>21</v>
      </c>
      <c r="AO967" s="28">
        <f>G967*0.716526786</f>
        <v>0</v>
      </c>
      <c r="AP967" s="28">
        <f>G967*(1-0.716526786)</f>
        <v>0</v>
      </c>
      <c r="AQ967" s="30" t="s">
        <v>98</v>
      </c>
      <c r="AV967" s="28">
        <f>AW967+AX967</f>
        <v>0</v>
      </c>
      <c r="AW967" s="28">
        <f>F967*AO967</f>
        <v>0</v>
      </c>
      <c r="AX967" s="28">
        <f>F967*AP967</f>
        <v>0</v>
      </c>
      <c r="AY967" s="30" t="s">
        <v>1714</v>
      </c>
      <c r="AZ967" s="30" t="s">
        <v>1621</v>
      </c>
      <c r="BA967" s="10" t="s">
        <v>1553</v>
      </c>
      <c r="BC967" s="28">
        <f>AW967+AX967</f>
        <v>0</v>
      </c>
      <c r="BD967" s="28">
        <f>G967/(100-BE967)*100</f>
        <v>0</v>
      </c>
      <c r="BE967" s="28">
        <v>0</v>
      </c>
      <c r="BF967" s="28">
        <f>967</f>
        <v>967</v>
      </c>
      <c r="BH967" s="28">
        <f>F967*AO967</f>
        <v>0</v>
      </c>
      <c r="BI967" s="28">
        <f>F967*AP967</f>
        <v>0</v>
      </c>
      <c r="BJ967" s="28">
        <f>F967*G967</f>
        <v>0</v>
      </c>
      <c r="BK967" s="28"/>
      <c r="BL967" s="28">
        <v>725</v>
      </c>
      <c r="BW967" s="28">
        <v>21</v>
      </c>
    </row>
    <row r="968" spans="1:75" x14ac:dyDescent="0.25">
      <c r="A968" s="31"/>
      <c r="C968" s="32" t="s">
        <v>57</v>
      </c>
      <c r="D968" s="32" t="s">
        <v>52</v>
      </c>
      <c r="F968" s="33">
        <v>1</v>
      </c>
      <c r="K968" s="34"/>
    </row>
    <row r="969" spans="1:75" ht="13.5" customHeight="1" x14ac:dyDescent="0.25">
      <c r="A969" s="2" t="s">
        <v>1721</v>
      </c>
      <c r="B969" s="3" t="s">
        <v>1722</v>
      </c>
      <c r="C969" s="83" t="s">
        <v>1723</v>
      </c>
      <c r="D969" s="80"/>
      <c r="E969" s="3" t="s">
        <v>137</v>
      </c>
      <c r="F969" s="28">
        <v>1</v>
      </c>
      <c r="G969" s="28">
        <v>0</v>
      </c>
      <c r="H969" s="28">
        <f>F969*AO969</f>
        <v>0</v>
      </c>
      <c r="I969" s="28">
        <f>F969*AP969</f>
        <v>0</v>
      </c>
      <c r="J969" s="28">
        <f>F969*G969</f>
        <v>0</v>
      </c>
      <c r="K969" s="29" t="s">
        <v>61</v>
      </c>
      <c r="Z969" s="28">
        <f>IF(AQ969="5",BJ969,0)</f>
        <v>0</v>
      </c>
      <c r="AB969" s="28">
        <f>IF(AQ969="1",BH969,0)</f>
        <v>0</v>
      </c>
      <c r="AC969" s="28">
        <f>IF(AQ969="1",BI969,0)</f>
        <v>0</v>
      </c>
      <c r="AD969" s="28">
        <f>IF(AQ969="7",BH969,0)</f>
        <v>0</v>
      </c>
      <c r="AE969" s="28">
        <f>IF(AQ969="7",BI969,0)</f>
        <v>0</v>
      </c>
      <c r="AF969" s="28">
        <f>IF(AQ969="2",BH969,0)</f>
        <v>0</v>
      </c>
      <c r="AG969" s="28">
        <f>IF(AQ969="2",BI969,0)</f>
        <v>0</v>
      </c>
      <c r="AH969" s="28">
        <f>IF(AQ969="0",BJ969,0)</f>
        <v>0</v>
      </c>
      <c r="AI969" s="10" t="s">
        <v>1547</v>
      </c>
      <c r="AJ969" s="28">
        <f>IF(AN969=0,J969,0)</f>
        <v>0</v>
      </c>
      <c r="AK969" s="28">
        <f>IF(AN969=12,J969,0)</f>
        <v>0</v>
      </c>
      <c r="AL969" s="28">
        <f>IF(AN969=21,J969,0)</f>
        <v>0</v>
      </c>
      <c r="AN969" s="28">
        <v>21</v>
      </c>
      <c r="AO969" s="28">
        <f>G969*0.717122449</f>
        <v>0</v>
      </c>
      <c r="AP969" s="28">
        <f>G969*(1-0.717122449)</f>
        <v>0</v>
      </c>
      <c r="AQ969" s="30" t="s">
        <v>98</v>
      </c>
      <c r="AV969" s="28">
        <f>AW969+AX969</f>
        <v>0</v>
      </c>
      <c r="AW969" s="28">
        <f>F969*AO969</f>
        <v>0</v>
      </c>
      <c r="AX969" s="28">
        <f>F969*AP969</f>
        <v>0</v>
      </c>
      <c r="AY969" s="30" t="s">
        <v>1714</v>
      </c>
      <c r="AZ969" s="30" t="s">
        <v>1621</v>
      </c>
      <c r="BA969" s="10" t="s">
        <v>1553</v>
      </c>
      <c r="BC969" s="28">
        <f>AW969+AX969</f>
        <v>0</v>
      </c>
      <c r="BD969" s="28">
        <f>G969/(100-BE969)*100</f>
        <v>0</v>
      </c>
      <c r="BE969" s="28">
        <v>0</v>
      </c>
      <c r="BF969" s="28">
        <f>969</f>
        <v>969</v>
      </c>
      <c r="BH969" s="28">
        <f>F969*AO969</f>
        <v>0</v>
      </c>
      <c r="BI969" s="28">
        <f>F969*AP969</f>
        <v>0</v>
      </c>
      <c r="BJ969" s="28">
        <f>F969*G969</f>
        <v>0</v>
      </c>
      <c r="BK969" s="28"/>
      <c r="BL969" s="28">
        <v>725</v>
      </c>
      <c r="BW969" s="28">
        <v>21</v>
      </c>
    </row>
    <row r="970" spans="1:75" x14ac:dyDescent="0.25">
      <c r="A970" s="31"/>
      <c r="C970" s="32" t="s">
        <v>57</v>
      </c>
      <c r="D970" s="32" t="s">
        <v>52</v>
      </c>
      <c r="F970" s="33">
        <v>1</v>
      </c>
      <c r="K970" s="34"/>
    </row>
    <row r="971" spans="1:75" ht="13.5" customHeight="1" x14ac:dyDescent="0.25">
      <c r="A971" s="2" t="s">
        <v>1724</v>
      </c>
      <c r="B971" s="3" t="s">
        <v>1725</v>
      </c>
      <c r="C971" s="83" t="s">
        <v>1726</v>
      </c>
      <c r="D971" s="80"/>
      <c r="E971" s="3" t="s">
        <v>137</v>
      </c>
      <c r="F971" s="28">
        <v>1</v>
      </c>
      <c r="G971" s="28">
        <v>0</v>
      </c>
      <c r="H971" s="28">
        <f>F971*AO971</f>
        <v>0</v>
      </c>
      <c r="I971" s="28">
        <f>F971*AP971</f>
        <v>0</v>
      </c>
      <c r="J971" s="28">
        <f>F971*G971</f>
        <v>0</v>
      </c>
      <c r="K971" s="29" t="s">
        <v>61</v>
      </c>
      <c r="Z971" s="28">
        <f>IF(AQ971="5",BJ971,0)</f>
        <v>0</v>
      </c>
      <c r="AB971" s="28">
        <f>IF(AQ971="1",BH971,0)</f>
        <v>0</v>
      </c>
      <c r="AC971" s="28">
        <f>IF(AQ971="1",BI971,0)</f>
        <v>0</v>
      </c>
      <c r="AD971" s="28">
        <f>IF(AQ971="7",BH971,0)</f>
        <v>0</v>
      </c>
      <c r="AE971" s="28">
        <f>IF(AQ971="7",BI971,0)</f>
        <v>0</v>
      </c>
      <c r="AF971" s="28">
        <f>IF(AQ971="2",BH971,0)</f>
        <v>0</v>
      </c>
      <c r="AG971" s="28">
        <f>IF(AQ971="2",BI971,0)</f>
        <v>0</v>
      </c>
      <c r="AH971" s="28">
        <f>IF(AQ971="0",BJ971,0)</f>
        <v>0</v>
      </c>
      <c r="AI971" s="10" t="s">
        <v>1547</v>
      </c>
      <c r="AJ971" s="28">
        <f>IF(AN971=0,J971,0)</f>
        <v>0</v>
      </c>
      <c r="AK971" s="28">
        <f>IF(AN971=12,J971,0)</f>
        <v>0</v>
      </c>
      <c r="AL971" s="28">
        <f>IF(AN971=21,J971,0)</f>
        <v>0</v>
      </c>
      <c r="AN971" s="28">
        <v>21</v>
      </c>
      <c r="AO971" s="28">
        <f>G971*0.895503268</f>
        <v>0</v>
      </c>
      <c r="AP971" s="28">
        <f>G971*(1-0.895503268)</f>
        <v>0</v>
      </c>
      <c r="AQ971" s="30" t="s">
        <v>98</v>
      </c>
      <c r="AV971" s="28">
        <f>AW971+AX971</f>
        <v>0</v>
      </c>
      <c r="AW971" s="28">
        <f>F971*AO971</f>
        <v>0</v>
      </c>
      <c r="AX971" s="28">
        <f>F971*AP971</f>
        <v>0</v>
      </c>
      <c r="AY971" s="30" t="s">
        <v>1714</v>
      </c>
      <c r="AZ971" s="30" t="s">
        <v>1621</v>
      </c>
      <c r="BA971" s="10" t="s">
        <v>1553</v>
      </c>
      <c r="BC971" s="28">
        <f>AW971+AX971</f>
        <v>0</v>
      </c>
      <c r="BD971" s="28">
        <f>G971/(100-BE971)*100</f>
        <v>0</v>
      </c>
      <c r="BE971" s="28">
        <v>0</v>
      </c>
      <c r="BF971" s="28">
        <f>971</f>
        <v>971</v>
      </c>
      <c r="BH971" s="28">
        <f>F971*AO971</f>
        <v>0</v>
      </c>
      <c r="BI971" s="28">
        <f>F971*AP971</f>
        <v>0</v>
      </c>
      <c r="BJ971" s="28">
        <f>F971*G971</f>
        <v>0</v>
      </c>
      <c r="BK971" s="28"/>
      <c r="BL971" s="28">
        <v>725</v>
      </c>
      <c r="BW971" s="28">
        <v>21</v>
      </c>
    </row>
    <row r="972" spans="1:75" x14ac:dyDescent="0.25">
      <c r="A972" s="31"/>
      <c r="C972" s="32" t="s">
        <v>57</v>
      </c>
      <c r="D972" s="32" t="s">
        <v>52</v>
      </c>
      <c r="F972" s="33">
        <v>1</v>
      </c>
      <c r="K972" s="34"/>
    </row>
    <row r="973" spans="1:75" ht="13.5" customHeight="1" x14ac:dyDescent="0.25">
      <c r="A973" s="2" t="s">
        <v>1727</v>
      </c>
      <c r="B973" s="3" t="s">
        <v>1728</v>
      </c>
      <c r="C973" s="83" t="s">
        <v>1729</v>
      </c>
      <c r="D973" s="80"/>
      <c r="E973" s="3" t="s">
        <v>137</v>
      </c>
      <c r="F973" s="28">
        <v>1</v>
      </c>
      <c r="G973" s="28">
        <v>0</v>
      </c>
      <c r="H973" s="28">
        <f>F973*AO973</f>
        <v>0</v>
      </c>
      <c r="I973" s="28">
        <f>F973*AP973</f>
        <v>0</v>
      </c>
      <c r="J973" s="28">
        <f>F973*G973</f>
        <v>0</v>
      </c>
      <c r="K973" s="29" t="s">
        <v>1602</v>
      </c>
      <c r="Z973" s="28">
        <f>IF(AQ973="5",BJ973,0)</f>
        <v>0</v>
      </c>
      <c r="AB973" s="28">
        <f>IF(AQ973="1",BH973,0)</f>
        <v>0</v>
      </c>
      <c r="AC973" s="28">
        <f>IF(AQ973="1",BI973,0)</f>
        <v>0</v>
      </c>
      <c r="AD973" s="28">
        <f>IF(AQ973="7",BH973,0)</f>
        <v>0</v>
      </c>
      <c r="AE973" s="28">
        <f>IF(AQ973="7",BI973,0)</f>
        <v>0</v>
      </c>
      <c r="AF973" s="28">
        <f>IF(AQ973="2",BH973,0)</f>
        <v>0</v>
      </c>
      <c r="AG973" s="28">
        <f>IF(AQ973="2",BI973,0)</f>
        <v>0</v>
      </c>
      <c r="AH973" s="28">
        <f>IF(AQ973="0",BJ973,0)</f>
        <v>0</v>
      </c>
      <c r="AI973" s="10" t="s">
        <v>1547</v>
      </c>
      <c r="AJ973" s="28">
        <f>IF(AN973=0,J973,0)</f>
        <v>0</v>
      </c>
      <c r="AK973" s="28">
        <f>IF(AN973=12,J973,0)</f>
        <v>0</v>
      </c>
      <c r="AL973" s="28">
        <f>IF(AN973=21,J973,0)</f>
        <v>0</v>
      </c>
      <c r="AN973" s="28">
        <v>21</v>
      </c>
      <c r="AO973" s="28">
        <f>G973*0.874104167</f>
        <v>0</v>
      </c>
      <c r="AP973" s="28">
        <f>G973*(1-0.874104167)</f>
        <v>0</v>
      </c>
      <c r="AQ973" s="30" t="s">
        <v>98</v>
      </c>
      <c r="AV973" s="28">
        <f>AW973+AX973</f>
        <v>0</v>
      </c>
      <c r="AW973" s="28">
        <f>F973*AO973</f>
        <v>0</v>
      </c>
      <c r="AX973" s="28">
        <f>F973*AP973</f>
        <v>0</v>
      </c>
      <c r="AY973" s="30" t="s">
        <v>1714</v>
      </c>
      <c r="AZ973" s="30" t="s">
        <v>1621</v>
      </c>
      <c r="BA973" s="10" t="s">
        <v>1553</v>
      </c>
      <c r="BC973" s="28">
        <f>AW973+AX973</f>
        <v>0</v>
      </c>
      <c r="BD973" s="28">
        <f>G973/(100-BE973)*100</f>
        <v>0</v>
      </c>
      <c r="BE973" s="28">
        <v>0</v>
      </c>
      <c r="BF973" s="28">
        <f>973</f>
        <v>973</v>
      </c>
      <c r="BH973" s="28">
        <f>F973*AO973</f>
        <v>0</v>
      </c>
      <c r="BI973" s="28">
        <f>F973*AP973</f>
        <v>0</v>
      </c>
      <c r="BJ973" s="28">
        <f>F973*G973</f>
        <v>0</v>
      </c>
      <c r="BK973" s="28"/>
      <c r="BL973" s="28">
        <v>725</v>
      </c>
      <c r="BW973" s="28">
        <v>21</v>
      </c>
    </row>
    <row r="974" spans="1:75" x14ac:dyDescent="0.25">
      <c r="A974" s="31"/>
      <c r="C974" s="32" t="s">
        <v>57</v>
      </c>
      <c r="D974" s="32" t="s">
        <v>52</v>
      </c>
      <c r="F974" s="33">
        <v>1</v>
      </c>
      <c r="K974" s="34"/>
    </row>
    <row r="975" spans="1:75" ht="13.5" customHeight="1" x14ac:dyDescent="0.25">
      <c r="A975" s="2" t="s">
        <v>1730</v>
      </c>
      <c r="B975" s="3" t="s">
        <v>1731</v>
      </c>
      <c r="C975" s="83" t="s">
        <v>1732</v>
      </c>
      <c r="D975" s="80"/>
      <c r="E975" s="3" t="s">
        <v>172</v>
      </c>
      <c r="F975" s="28">
        <v>1</v>
      </c>
      <c r="G975" s="28">
        <v>0</v>
      </c>
      <c r="H975" s="28">
        <f>F975*AO975</f>
        <v>0</v>
      </c>
      <c r="I975" s="28">
        <f>F975*AP975</f>
        <v>0</v>
      </c>
      <c r="J975" s="28">
        <f>F975*G975</f>
        <v>0</v>
      </c>
      <c r="K975" s="29" t="s">
        <v>1733</v>
      </c>
      <c r="Z975" s="28">
        <f>IF(AQ975="5",BJ975,0)</f>
        <v>0</v>
      </c>
      <c r="AB975" s="28">
        <f>IF(AQ975="1",BH975,0)</f>
        <v>0</v>
      </c>
      <c r="AC975" s="28">
        <f>IF(AQ975="1",BI975,0)</f>
        <v>0</v>
      </c>
      <c r="AD975" s="28">
        <f>IF(AQ975="7",BH975,0)</f>
        <v>0</v>
      </c>
      <c r="AE975" s="28">
        <f>IF(AQ975="7",BI975,0)</f>
        <v>0</v>
      </c>
      <c r="AF975" s="28">
        <f>IF(AQ975="2",BH975,0)</f>
        <v>0</v>
      </c>
      <c r="AG975" s="28">
        <f>IF(AQ975="2",BI975,0)</f>
        <v>0</v>
      </c>
      <c r="AH975" s="28">
        <f>IF(AQ975="0",BJ975,0)</f>
        <v>0</v>
      </c>
      <c r="AI975" s="10" t="s">
        <v>1547</v>
      </c>
      <c r="AJ975" s="28">
        <f>IF(AN975=0,J975,0)</f>
        <v>0</v>
      </c>
      <c r="AK975" s="28">
        <f>IF(AN975=12,J975,0)</f>
        <v>0</v>
      </c>
      <c r="AL975" s="28">
        <f>IF(AN975=21,J975,0)</f>
        <v>0</v>
      </c>
      <c r="AN975" s="28">
        <v>21</v>
      </c>
      <c r="AO975" s="28">
        <f>G975*0.926444653</f>
        <v>0</v>
      </c>
      <c r="AP975" s="28">
        <f>G975*(1-0.926444653)</f>
        <v>0</v>
      </c>
      <c r="AQ975" s="30" t="s">
        <v>98</v>
      </c>
      <c r="AV975" s="28">
        <f>AW975+AX975</f>
        <v>0</v>
      </c>
      <c r="AW975" s="28">
        <f>F975*AO975</f>
        <v>0</v>
      </c>
      <c r="AX975" s="28">
        <f>F975*AP975</f>
        <v>0</v>
      </c>
      <c r="AY975" s="30" t="s">
        <v>1714</v>
      </c>
      <c r="AZ975" s="30" t="s">
        <v>1621</v>
      </c>
      <c r="BA975" s="10" t="s">
        <v>1553</v>
      </c>
      <c r="BC975" s="28">
        <f>AW975+AX975</f>
        <v>0</v>
      </c>
      <c r="BD975" s="28">
        <f>G975/(100-BE975)*100</f>
        <v>0</v>
      </c>
      <c r="BE975" s="28">
        <v>0</v>
      </c>
      <c r="BF975" s="28">
        <f>975</f>
        <v>975</v>
      </c>
      <c r="BH975" s="28">
        <f>F975*AO975</f>
        <v>0</v>
      </c>
      <c r="BI975" s="28">
        <f>F975*AP975</f>
        <v>0</v>
      </c>
      <c r="BJ975" s="28">
        <f>F975*G975</f>
        <v>0</v>
      </c>
      <c r="BK975" s="28"/>
      <c r="BL975" s="28">
        <v>725</v>
      </c>
      <c r="BW975" s="28">
        <v>21</v>
      </c>
    </row>
    <row r="976" spans="1:75" x14ac:dyDescent="0.25">
      <c r="A976" s="31"/>
      <c r="C976" s="32" t="s">
        <v>57</v>
      </c>
      <c r="D976" s="32" t="s">
        <v>1734</v>
      </c>
      <c r="F976" s="33">
        <v>1</v>
      </c>
      <c r="K976" s="34"/>
    </row>
    <row r="977" spans="1:75" ht="13.5" customHeight="1" x14ac:dyDescent="0.25">
      <c r="A977" s="2" t="s">
        <v>1735</v>
      </c>
      <c r="B977" s="3" t="s">
        <v>1736</v>
      </c>
      <c r="C977" s="83" t="s">
        <v>1737</v>
      </c>
      <c r="D977" s="80"/>
      <c r="E977" s="3" t="s">
        <v>167</v>
      </c>
      <c r="F977" s="28">
        <v>2</v>
      </c>
      <c r="G977" s="28">
        <v>0</v>
      </c>
      <c r="H977" s="28">
        <f>F977*AO977</f>
        <v>0</v>
      </c>
      <c r="I977" s="28">
        <f>F977*AP977</f>
        <v>0</v>
      </c>
      <c r="J977" s="28">
        <f>F977*G977</f>
        <v>0</v>
      </c>
      <c r="K977" s="29" t="s">
        <v>61</v>
      </c>
      <c r="Z977" s="28">
        <f>IF(AQ977="5",BJ977,0)</f>
        <v>0</v>
      </c>
      <c r="AB977" s="28">
        <f>IF(AQ977="1",BH977,0)</f>
        <v>0</v>
      </c>
      <c r="AC977" s="28">
        <f>IF(AQ977="1",BI977,0)</f>
        <v>0</v>
      </c>
      <c r="AD977" s="28">
        <f>IF(AQ977="7",BH977,0)</f>
        <v>0</v>
      </c>
      <c r="AE977" s="28">
        <f>IF(AQ977="7",BI977,0)</f>
        <v>0</v>
      </c>
      <c r="AF977" s="28">
        <f>IF(AQ977="2",BH977,0)</f>
        <v>0</v>
      </c>
      <c r="AG977" s="28">
        <f>IF(AQ977="2",BI977,0)</f>
        <v>0</v>
      </c>
      <c r="AH977" s="28">
        <f>IF(AQ977="0",BJ977,0)</f>
        <v>0</v>
      </c>
      <c r="AI977" s="10" t="s">
        <v>1547</v>
      </c>
      <c r="AJ977" s="28">
        <f>IF(AN977=0,J977,0)</f>
        <v>0</v>
      </c>
      <c r="AK977" s="28">
        <f>IF(AN977=12,J977,0)</f>
        <v>0</v>
      </c>
      <c r="AL977" s="28">
        <f>IF(AN977=21,J977,0)</f>
        <v>0</v>
      </c>
      <c r="AN977" s="28">
        <v>21</v>
      </c>
      <c r="AO977" s="28">
        <f>G977*0.784480874</f>
        <v>0</v>
      </c>
      <c r="AP977" s="28">
        <f>G977*(1-0.784480874)</f>
        <v>0</v>
      </c>
      <c r="AQ977" s="30" t="s">
        <v>98</v>
      </c>
      <c r="AV977" s="28">
        <f>AW977+AX977</f>
        <v>0</v>
      </c>
      <c r="AW977" s="28">
        <f>F977*AO977</f>
        <v>0</v>
      </c>
      <c r="AX977" s="28">
        <f>F977*AP977</f>
        <v>0</v>
      </c>
      <c r="AY977" s="30" t="s">
        <v>1714</v>
      </c>
      <c r="AZ977" s="30" t="s">
        <v>1621</v>
      </c>
      <c r="BA977" s="10" t="s">
        <v>1553</v>
      </c>
      <c r="BC977" s="28">
        <f>AW977+AX977</f>
        <v>0</v>
      </c>
      <c r="BD977" s="28">
        <f>G977/(100-BE977)*100</f>
        <v>0</v>
      </c>
      <c r="BE977" s="28">
        <v>0</v>
      </c>
      <c r="BF977" s="28">
        <f>977</f>
        <v>977</v>
      </c>
      <c r="BH977" s="28">
        <f>F977*AO977</f>
        <v>0</v>
      </c>
      <c r="BI977" s="28">
        <f>F977*AP977</f>
        <v>0</v>
      </c>
      <c r="BJ977" s="28">
        <f>F977*G977</f>
        <v>0</v>
      </c>
      <c r="BK977" s="28"/>
      <c r="BL977" s="28">
        <v>725</v>
      </c>
      <c r="BW977" s="28">
        <v>21</v>
      </c>
    </row>
    <row r="978" spans="1:75" x14ac:dyDescent="0.25">
      <c r="A978" s="31"/>
      <c r="C978" s="32" t="s">
        <v>68</v>
      </c>
      <c r="D978" s="32" t="s">
        <v>52</v>
      </c>
      <c r="F978" s="33">
        <v>2</v>
      </c>
      <c r="K978" s="34"/>
    </row>
    <row r="979" spans="1:75" ht="13.5" customHeight="1" x14ac:dyDescent="0.25">
      <c r="A979" s="2" t="s">
        <v>1738</v>
      </c>
      <c r="B979" s="3" t="s">
        <v>1739</v>
      </c>
      <c r="C979" s="83" t="s">
        <v>1740</v>
      </c>
      <c r="D979" s="80"/>
      <c r="E979" s="3" t="s">
        <v>137</v>
      </c>
      <c r="F979" s="28">
        <v>1</v>
      </c>
      <c r="G979" s="28">
        <v>0</v>
      </c>
      <c r="H979" s="28">
        <f>F979*AO979</f>
        <v>0</v>
      </c>
      <c r="I979" s="28">
        <f>F979*AP979</f>
        <v>0</v>
      </c>
      <c r="J979" s="28">
        <f>F979*G979</f>
        <v>0</v>
      </c>
      <c r="K979" s="29" t="s">
        <v>61</v>
      </c>
      <c r="Z979" s="28">
        <f>IF(AQ979="5",BJ979,0)</f>
        <v>0</v>
      </c>
      <c r="AB979" s="28">
        <f>IF(AQ979="1",BH979,0)</f>
        <v>0</v>
      </c>
      <c r="AC979" s="28">
        <f>IF(AQ979="1",BI979,0)</f>
        <v>0</v>
      </c>
      <c r="AD979" s="28">
        <f>IF(AQ979="7",BH979,0)</f>
        <v>0</v>
      </c>
      <c r="AE979" s="28">
        <f>IF(AQ979="7",BI979,0)</f>
        <v>0</v>
      </c>
      <c r="AF979" s="28">
        <f>IF(AQ979="2",BH979,0)</f>
        <v>0</v>
      </c>
      <c r="AG979" s="28">
        <f>IF(AQ979="2",BI979,0)</f>
        <v>0</v>
      </c>
      <c r="AH979" s="28">
        <f>IF(AQ979="0",BJ979,0)</f>
        <v>0</v>
      </c>
      <c r="AI979" s="10" t="s">
        <v>1547</v>
      </c>
      <c r="AJ979" s="28">
        <f>IF(AN979=0,J979,0)</f>
        <v>0</v>
      </c>
      <c r="AK979" s="28">
        <f>IF(AN979=12,J979,0)</f>
        <v>0</v>
      </c>
      <c r="AL979" s="28">
        <f>IF(AN979=21,J979,0)</f>
        <v>0</v>
      </c>
      <c r="AN979" s="28">
        <v>21</v>
      </c>
      <c r="AO979" s="28">
        <f>G979*1</f>
        <v>0</v>
      </c>
      <c r="AP979" s="28">
        <f>G979*(1-1)</f>
        <v>0</v>
      </c>
      <c r="AQ979" s="30" t="s">
        <v>98</v>
      </c>
      <c r="AV979" s="28">
        <f>AW979+AX979</f>
        <v>0</v>
      </c>
      <c r="AW979" s="28">
        <f>F979*AO979</f>
        <v>0</v>
      </c>
      <c r="AX979" s="28">
        <f>F979*AP979</f>
        <v>0</v>
      </c>
      <c r="AY979" s="30" t="s">
        <v>1714</v>
      </c>
      <c r="AZ979" s="30" t="s">
        <v>1621</v>
      </c>
      <c r="BA979" s="10" t="s">
        <v>1553</v>
      </c>
      <c r="BC979" s="28">
        <f>AW979+AX979</f>
        <v>0</v>
      </c>
      <c r="BD979" s="28">
        <f>G979/(100-BE979)*100</f>
        <v>0</v>
      </c>
      <c r="BE979" s="28">
        <v>0</v>
      </c>
      <c r="BF979" s="28">
        <f>979</f>
        <v>979</v>
      </c>
      <c r="BH979" s="28">
        <f>F979*AO979</f>
        <v>0</v>
      </c>
      <c r="BI979" s="28">
        <f>F979*AP979</f>
        <v>0</v>
      </c>
      <c r="BJ979" s="28">
        <f>F979*G979</f>
        <v>0</v>
      </c>
      <c r="BK979" s="28"/>
      <c r="BL979" s="28">
        <v>725</v>
      </c>
      <c r="BW979" s="28">
        <v>21</v>
      </c>
    </row>
    <row r="980" spans="1:75" x14ac:dyDescent="0.25">
      <c r="A980" s="31"/>
      <c r="C980" s="32" t="s">
        <v>57</v>
      </c>
      <c r="D980" s="32" t="s">
        <v>52</v>
      </c>
      <c r="F980" s="33">
        <v>1</v>
      </c>
      <c r="K980" s="34"/>
    </row>
    <row r="981" spans="1:75" ht="13.5" customHeight="1" x14ac:dyDescent="0.25">
      <c r="A981" s="2" t="s">
        <v>1741</v>
      </c>
      <c r="B981" s="3" t="s">
        <v>1742</v>
      </c>
      <c r="C981" s="83" t="s">
        <v>1743</v>
      </c>
      <c r="D981" s="80"/>
      <c r="E981" s="3" t="s">
        <v>71</v>
      </c>
      <c r="F981" s="28">
        <v>4.4999999999999998E-2</v>
      </c>
      <c r="G981" s="28">
        <v>0</v>
      </c>
      <c r="H981" s="28">
        <f>F981*AO981</f>
        <v>0</v>
      </c>
      <c r="I981" s="28">
        <f>F981*AP981</f>
        <v>0</v>
      </c>
      <c r="J981" s="28">
        <f>F981*G981</f>
        <v>0</v>
      </c>
      <c r="K981" s="29" t="s">
        <v>1491</v>
      </c>
      <c r="Z981" s="28">
        <f>IF(AQ981="5",BJ981,0)</f>
        <v>0</v>
      </c>
      <c r="AB981" s="28">
        <f>IF(AQ981="1",BH981,0)</f>
        <v>0</v>
      </c>
      <c r="AC981" s="28">
        <f>IF(AQ981="1",BI981,0)</f>
        <v>0</v>
      </c>
      <c r="AD981" s="28">
        <f>IF(AQ981="7",BH981,0)</f>
        <v>0</v>
      </c>
      <c r="AE981" s="28">
        <f>IF(AQ981="7",BI981,0)</f>
        <v>0</v>
      </c>
      <c r="AF981" s="28">
        <f>IF(AQ981="2",BH981,0)</f>
        <v>0</v>
      </c>
      <c r="AG981" s="28">
        <f>IF(AQ981="2",BI981,0)</f>
        <v>0</v>
      </c>
      <c r="AH981" s="28">
        <f>IF(AQ981="0",BJ981,0)</f>
        <v>0</v>
      </c>
      <c r="AI981" s="10" t="s">
        <v>1547</v>
      </c>
      <c r="AJ981" s="28">
        <f>IF(AN981=0,J981,0)</f>
        <v>0</v>
      </c>
      <c r="AK981" s="28">
        <f>IF(AN981=12,J981,0)</f>
        <v>0</v>
      </c>
      <c r="AL981" s="28">
        <f>IF(AN981=21,J981,0)</f>
        <v>0</v>
      </c>
      <c r="AN981" s="28">
        <v>21</v>
      </c>
      <c r="AO981" s="28">
        <f>G981*0</f>
        <v>0</v>
      </c>
      <c r="AP981" s="28">
        <f>G981*(1-0)</f>
        <v>0</v>
      </c>
      <c r="AQ981" s="30" t="s">
        <v>87</v>
      </c>
      <c r="AV981" s="28">
        <f>AW981+AX981</f>
        <v>0</v>
      </c>
      <c r="AW981" s="28">
        <f>F981*AO981</f>
        <v>0</v>
      </c>
      <c r="AX981" s="28">
        <f>F981*AP981</f>
        <v>0</v>
      </c>
      <c r="AY981" s="30" t="s">
        <v>1714</v>
      </c>
      <c r="AZ981" s="30" t="s">
        <v>1621</v>
      </c>
      <c r="BA981" s="10" t="s">
        <v>1553</v>
      </c>
      <c r="BC981" s="28">
        <f>AW981+AX981</f>
        <v>0</v>
      </c>
      <c r="BD981" s="28">
        <f>G981/(100-BE981)*100</f>
        <v>0</v>
      </c>
      <c r="BE981" s="28">
        <v>0</v>
      </c>
      <c r="BF981" s="28">
        <f>981</f>
        <v>981</v>
      </c>
      <c r="BH981" s="28">
        <f>F981*AO981</f>
        <v>0</v>
      </c>
      <c r="BI981" s="28">
        <f>F981*AP981</f>
        <v>0</v>
      </c>
      <c r="BJ981" s="28">
        <f>F981*G981</f>
        <v>0</v>
      </c>
      <c r="BK981" s="28"/>
      <c r="BL981" s="28">
        <v>725</v>
      </c>
      <c r="BW981" s="28">
        <v>21</v>
      </c>
    </row>
    <row r="982" spans="1:75" x14ac:dyDescent="0.25">
      <c r="A982" s="31"/>
      <c r="C982" s="32" t="s">
        <v>1744</v>
      </c>
      <c r="D982" s="32" t="s">
        <v>52</v>
      </c>
      <c r="F982" s="33">
        <v>4.4999999999999998E-2</v>
      </c>
      <c r="K982" s="34"/>
    </row>
    <row r="983" spans="1:75" x14ac:dyDescent="0.25">
      <c r="A983" s="24" t="s">
        <v>52</v>
      </c>
      <c r="B983" s="25" t="s">
        <v>1745</v>
      </c>
      <c r="C983" s="139" t="s">
        <v>1746</v>
      </c>
      <c r="D983" s="140"/>
      <c r="E983" s="26" t="s">
        <v>4</v>
      </c>
      <c r="F983" s="26" t="s">
        <v>4</v>
      </c>
      <c r="G983" s="26" t="s">
        <v>4</v>
      </c>
      <c r="H983" s="1">
        <f>SUM(H984:H1031)</f>
        <v>0</v>
      </c>
      <c r="I983" s="1">
        <f>SUM(I984:I1031)</f>
        <v>0</v>
      </c>
      <c r="J983" s="1">
        <f>SUM(J984:J1031)</f>
        <v>0</v>
      </c>
      <c r="K983" s="27" t="s">
        <v>52</v>
      </c>
      <c r="AI983" s="10" t="s">
        <v>1547</v>
      </c>
      <c r="AS983" s="1">
        <f>SUM(AJ984:AJ1031)</f>
        <v>0</v>
      </c>
      <c r="AT983" s="1">
        <f>SUM(AK984:AK1031)</f>
        <v>0</v>
      </c>
      <c r="AU983" s="1">
        <f>SUM(AL984:AL1031)</f>
        <v>0</v>
      </c>
    </row>
    <row r="984" spans="1:75" ht="13.5" customHeight="1" x14ac:dyDescent="0.25">
      <c r="A984" s="2" t="s">
        <v>1747</v>
      </c>
      <c r="B984" s="3" t="s">
        <v>1748</v>
      </c>
      <c r="C984" s="83" t="s">
        <v>1749</v>
      </c>
      <c r="D984" s="80"/>
      <c r="E984" s="3" t="s">
        <v>137</v>
      </c>
      <c r="F984" s="28">
        <v>1</v>
      </c>
      <c r="G984" s="28">
        <v>0</v>
      </c>
      <c r="H984" s="28">
        <f>F984*AO984</f>
        <v>0</v>
      </c>
      <c r="I984" s="28">
        <f>F984*AP984</f>
        <v>0</v>
      </c>
      <c r="J984" s="28">
        <f>F984*G984</f>
        <v>0</v>
      </c>
      <c r="K984" s="29" t="s">
        <v>61</v>
      </c>
      <c r="Z984" s="28">
        <f>IF(AQ984="5",BJ984,0)</f>
        <v>0</v>
      </c>
      <c r="AB984" s="28">
        <f>IF(AQ984="1",BH984,0)</f>
        <v>0</v>
      </c>
      <c r="AC984" s="28">
        <f>IF(AQ984="1",BI984,0)</f>
        <v>0</v>
      </c>
      <c r="AD984" s="28">
        <f>IF(AQ984="7",BH984,0)</f>
        <v>0</v>
      </c>
      <c r="AE984" s="28">
        <f>IF(AQ984="7",BI984,0)</f>
        <v>0</v>
      </c>
      <c r="AF984" s="28">
        <f>IF(AQ984="2",BH984,0)</f>
        <v>0</v>
      </c>
      <c r="AG984" s="28">
        <f>IF(AQ984="2",BI984,0)</f>
        <v>0</v>
      </c>
      <c r="AH984" s="28">
        <f>IF(AQ984="0",BJ984,0)</f>
        <v>0</v>
      </c>
      <c r="AI984" s="10" t="s">
        <v>1547</v>
      </c>
      <c r="AJ984" s="28">
        <f>IF(AN984=0,J984,0)</f>
        <v>0</v>
      </c>
      <c r="AK984" s="28">
        <f>IF(AN984=12,J984,0)</f>
        <v>0</v>
      </c>
      <c r="AL984" s="28">
        <f>IF(AN984=21,J984,0)</f>
        <v>0</v>
      </c>
      <c r="AN984" s="28">
        <v>21</v>
      </c>
      <c r="AO984" s="28">
        <f>G984*0</f>
        <v>0</v>
      </c>
      <c r="AP984" s="28">
        <f>G984*(1-0)</f>
        <v>0</v>
      </c>
      <c r="AQ984" s="30" t="s">
        <v>98</v>
      </c>
      <c r="AV984" s="28">
        <f>AW984+AX984</f>
        <v>0</v>
      </c>
      <c r="AW984" s="28">
        <f>F984*AO984</f>
        <v>0</v>
      </c>
      <c r="AX984" s="28">
        <f>F984*AP984</f>
        <v>0</v>
      </c>
      <c r="AY984" s="30" t="s">
        <v>1750</v>
      </c>
      <c r="AZ984" s="30" t="s">
        <v>1751</v>
      </c>
      <c r="BA984" s="10" t="s">
        <v>1553</v>
      </c>
      <c r="BC984" s="28">
        <f>AW984+AX984</f>
        <v>0</v>
      </c>
      <c r="BD984" s="28">
        <f>G984/(100-BE984)*100</f>
        <v>0</v>
      </c>
      <c r="BE984" s="28">
        <v>0</v>
      </c>
      <c r="BF984" s="28">
        <f>984</f>
        <v>984</v>
      </c>
      <c r="BH984" s="28">
        <f>F984*AO984</f>
        <v>0</v>
      </c>
      <c r="BI984" s="28">
        <f>F984*AP984</f>
        <v>0</v>
      </c>
      <c r="BJ984" s="28">
        <f>F984*G984</f>
        <v>0</v>
      </c>
      <c r="BK984" s="28"/>
      <c r="BL984" s="28">
        <v>734</v>
      </c>
      <c r="BW984" s="28">
        <v>21</v>
      </c>
    </row>
    <row r="985" spans="1:75" x14ac:dyDescent="0.25">
      <c r="A985" s="31"/>
      <c r="C985" s="32" t="s">
        <v>57</v>
      </c>
      <c r="D985" s="32" t="s">
        <v>52</v>
      </c>
      <c r="F985" s="33">
        <v>1</v>
      </c>
      <c r="K985" s="34"/>
    </row>
    <row r="986" spans="1:75" ht="13.5" customHeight="1" x14ac:dyDescent="0.25">
      <c r="A986" s="2" t="s">
        <v>1752</v>
      </c>
      <c r="B986" s="3" t="s">
        <v>1753</v>
      </c>
      <c r="C986" s="83" t="s">
        <v>1754</v>
      </c>
      <c r="D986" s="80"/>
      <c r="E986" s="3" t="s">
        <v>137</v>
      </c>
      <c r="F986" s="28">
        <v>1</v>
      </c>
      <c r="G986" s="28">
        <v>0</v>
      </c>
      <c r="H986" s="28">
        <f>F986*AO986</f>
        <v>0</v>
      </c>
      <c r="I986" s="28">
        <f>F986*AP986</f>
        <v>0</v>
      </c>
      <c r="J986" s="28">
        <f>F986*G986</f>
        <v>0</v>
      </c>
      <c r="K986" s="29" t="s">
        <v>61</v>
      </c>
      <c r="Z986" s="28">
        <f>IF(AQ986="5",BJ986,0)</f>
        <v>0</v>
      </c>
      <c r="AB986" s="28">
        <f>IF(AQ986="1",BH986,0)</f>
        <v>0</v>
      </c>
      <c r="AC986" s="28">
        <f>IF(AQ986="1",BI986,0)</f>
        <v>0</v>
      </c>
      <c r="AD986" s="28">
        <f>IF(AQ986="7",BH986,0)</f>
        <v>0</v>
      </c>
      <c r="AE986" s="28">
        <f>IF(AQ986="7",BI986,0)</f>
        <v>0</v>
      </c>
      <c r="AF986" s="28">
        <f>IF(AQ986="2",BH986,0)</f>
        <v>0</v>
      </c>
      <c r="AG986" s="28">
        <f>IF(AQ986="2",BI986,0)</f>
        <v>0</v>
      </c>
      <c r="AH986" s="28">
        <f>IF(AQ986="0",BJ986,0)</f>
        <v>0</v>
      </c>
      <c r="AI986" s="10" t="s">
        <v>1547</v>
      </c>
      <c r="AJ986" s="28">
        <f>IF(AN986=0,J986,0)</f>
        <v>0</v>
      </c>
      <c r="AK986" s="28">
        <f>IF(AN986=12,J986,0)</f>
        <v>0</v>
      </c>
      <c r="AL986" s="28">
        <f>IF(AN986=21,J986,0)</f>
        <v>0</v>
      </c>
      <c r="AN986" s="28">
        <v>21</v>
      </c>
      <c r="AO986" s="28">
        <f>G986*0</f>
        <v>0</v>
      </c>
      <c r="AP986" s="28">
        <f>G986*(1-0)</f>
        <v>0</v>
      </c>
      <c r="AQ986" s="30" t="s">
        <v>98</v>
      </c>
      <c r="AV986" s="28">
        <f>AW986+AX986</f>
        <v>0</v>
      </c>
      <c r="AW986" s="28">
        <f>F986*AO986</f>
        <v>0</v>
      </c>
      <c r="AX986" s="28">
        <f>F986*AP986</f>
        <v>0</v>
      </c>
      <c r="AY986" s="30" t="s">
        <v>1750</v>
      </c>
      <c r="AZ986" s="30" t="s">
        <v>1751</v>
      </c>
      <c r="BA986" s="10" t="s">
        <v>1553</v>
      </c>
      <c r="BC986" s="28">
        <f>AW986+AX986</f>
        <v>0</v>
      </c>
      <c r="BD986" s="28">
        <f>G986/(100-BE986)*100</f>
        <v>0</v>
      </c>
      <c r="BE986" s="28">
        <v>0</v>
      </c>
      <c r="BF986" s="28">
        <f>986</f>
        <v>986</v>
      </c>
      <c r="BH986" s="28">
        <f>F986*AO986</f>
        <v>0</v>
      </c>
      <c r="BI986" s="28">
        <f>F986*AP986</f>
        <v>0</v>
      </c>
      <c r="BJ986" s="28">
        <f>F986*G986</f>
        <v>0</v>
      </c>
      <c r="BK986" s="28"/>
      <c r="BL986" s="28">
        <v>734</v>
      </c>
      <c r="BW986" s="28">
        <v>21</v>
      </c>
    </row>
    <row r="987" spans="1:75" x14ac:dyDescent="0.25">
      <c r="A987" s="31"/>
      <c r="C987" s="32" t="s">
        <v>57</v>
      </c>
      <c r="D987" s="32" t="s">
        <v>52</v>
      </c>
      <c r="F987" s="33">
        <v>1</v>
      </c>
      <c r="K987" s="34"/>
    </row>
    <row r="988" spans="1:75" ht="13.5" customHeight="1" x14ac:dyDescent="0.25">
      <c r="A988" s="2" t="s">
        <v>1755</v>
      </c>
      <c r="B988" s="3" t="s">
        <v>1756</v>
      </c>
      <c r="C988" s="83" t="s">
        <v>1757</v>
      </c>
      <c r="D988" s="80"/>
      <c r="E988" s="3" t="s">
        <v>137</v>
      </c>
      <c r="F988" s="28">
        <v>3</v>
      </c>
      <c r="G988" s="28">
        <v>0</v>
      </c>
      <c r="H988" s="28">
        <f>F988*AO988</f>
        <v>0</v>
      </c>
      <c r="I988" s="28">
        <f>F988*AP988</f>
        <v>0</v>
      </c>
      <c r="J988" s="28">
        <f>F988*G988</f>
        <v>0</v>
      </c>
      <c r="K988" s="29" t="s">
        <v>61</v>
      </c>
      <c r="Z988" s="28">
        <f>IF(AQ988="5",BJ988,0)</f>
        <v>0</v>
      </c>
      <c r="AB988" s="28">
        <f>IF(AQ988="1",BH988,0)</f>
        <v>0</v>
      </c>
      <c r="AC988" s="28">
        <f>IF(AQ988="1",BI988,0)</f>
        <v>0</v>
      </c>
      <c r="AD988" s="28">
        <f>IF(AQ988="7",BH988,0)</f>
        <v>0</v>
      </c>
      <c r="AE988" s="28">
        <f>IF(AQ988="7",BI988,0)</f>
        <v>0</v>
      </c>
      <c r="AF988" s="28">
        <f>IF(AQ988="2",BH988,0)</f>
        <v>0</v>
      </c>
      <c r="AG988" s="28">
        <f>IF(AQ988="2",BI988,0)</f>
        <v>0</v>
      </c>
      <c r="AH988" s="28">
        <f>IF(AQ988="0",BJ988,0)</f>
        <v>0</v>
      </c>
      <c r="AI988" s="10" t="s">
        <v>1547</v>
      </c>
      <c r="AJ988" s="28">
        <f>IF(AN988=0,J988,0)</f>
        <v>0</v>
      </c>
      <c r="AK988" s="28">
        <f>IF(AN988=12,J988,0)</f>
        <v>0</v>
      </c>
      <c r="AL988" s="28">
        <f>IF(AN988=21,J988,0)</f>
        <v>0</v>
      </c>
      <c r="AN988" s="28">
        <v>21</v>
      </c>
      <c r="AO988" s="28">
        <f>G988*0</f>
        <v>0</v>
      </c>
      <c r="AP988" s="28">
        <f>G988*(1-0)</f>
        <v>0</v>
      </c>
      <c r="AQ988" s="30" t="s">
        <v>98</v>
      </c>
      <c r="AV988" s="28">
        <f>AW988+AX988</f>
        <v>0</v>
      </c>
      <c r="AW988" s="28">
        <f>F988*AO988</f>
        <v>0</v>
      </c>
      <c r="AX988" s="28">
        <f>F988*AP988</f>
        <v>0</v>
      </c>
      <c r="AY988" s="30" t="s">
        <v>1750</v>
      </c>
      <c r="AZ988" s="30" t="s">
        <v>1751</v>
      </c>
      <c r="BA988" s="10" t="s">
        <v>1553</v>
      </c>
      <c r="BC988" s="28">
        <f>AW988+AX988</f>
        <v>0</v>
      </c>
      <c r="BD988" s="28">
        <f>G988/(100-BE988)*100</f>
        <v>0</v>
      </c>
      <c r="BE988" s="28">
        <v>0</v>
      </c>
      <c r="BF988" s="28">
        <f>988</f>
        <v>988</v>
      </c>
      <c r="BH988" s="28">
        <f>F988*AO988</f>
        <v>0</v>
      </c>
      <c r="BI988" s="28">
        <f>F988*AP988</f>
        <v>0</v>
      </c>
      <c r="BJ988" s="28">
        <f>F988*G988</f>
        <v>0</v>
      </c>
      <c r="BK988" s="28"/>
      <c r="BL988" s="28">
        <v>734</v>
      </c>
      <c r="BW988" s="28">
        <v>21</v>
      </c>
    </row>
    <row r="989" spans="1:75" x14ac:dyDescent="0.25">
      <c r="A989" s="31"/>
      <c r="C989" s="32" t="s">
        <v>75</v>
      </c>
      <c r="D989" s="32" t="s">
        <v>52</v>
      </c>
      <c r="F989" s="33">
        <v>3</v>
      </c>
      <c r="K989" s="34"/>
    </row>
    <row r="990" spans="1:75" ht="13.5" customHeight="1" x14ac:dyDescent="0.25">
      <c r="A990" s="2" t="s">
        <v>1758</v>
      </c>
      <c r="B990" s="3" t="s">
        <v>1759</v>
      </c>
      <c r="C990" s="83" t="s">
        <v>1760</v>
      </c>
      <c r="D990" s="80"/>
      <c r="E990" s="3" t="s">
        <v>137</v>
      </c>
      <c r="F990" s="28">
        <v>3</v>
      </c>
      <c r="G990" s="28">
        <v>0</v>
      </c>
      <c r="H990" s="28">
        <f>F990*AO990</f>
        <v>0</v>
      </c>
      <c r="I990" s="28">
        <f>F990*AP990</f>
        <v>0</v>
      </c>
      <c r="J990" s="28">
        <f>F990*G990</f>
        <v>0</v>
      </c>
      <c r="K990" s="29" t="s">
        <v>61</v>
      </c>
      <c r="Z990" s="28">
        <f>IF(AQ990="5",BJ990,0)</f>
        <v>0</v>
      </c>
      <c r="AB990" s="28">
        <f>IF(AQ990="1",BH990,0)</f>
        <v>0</v>
      </c>
      <c r="AC990" s="28">
        <f>IF(AQ990="1",BI990,0)</f>
        <v>0</v>
      </c>
      <c r="AD990" s="28">
        <f>IF(AQ990="7",BH990,0)</f>
        <v>0</v>
      </c>
      <c r="AE990" s="28">
        <f>IF(AQ990="7",BI990,0)</f>
        <v>0</v>
      </c>
      <c r="AF990" s="28">
        <f>IF(AQ990="2",BH990,0)</f>
        <v>0</v>
      </c>
      <c r="AG990" s="28">
        <f>IF(AQ990="2",BI990,0)</f>
        <v>0</v>
      </c>
      <c r="AH990" s="28">
        <f>IF(AQ990="0",BJ990,0)</f>
        <v>0</v>
      </c>
      <c r="AI990" s="10" t="s">
        <v>1547</v>
      </c>
      <c r="AJ990" s="28">
        <f>IF(AN990=0,J990,0)</f>
        <v>0</v>
      </c>
      <c r="AK990" s="28">
        <f>IF(AN990=12,J990,0)</f>
        <v>0</v>
      </c>
      <c r="AL990" s="28">
        <f>IF(AN990=21,J990,0)</f>
        <v>0</v>
      </c>
      <c r="AN990" s="28">
        <v>21</v>
      </c>
      <c r="AO990" s="28">
        <f>G990*0.009161793</f>
        <v>0</v>
      </c>
      <c r="AP990" s="28">
        <f>G990*(1-0.009161793)</f>
        <v>0</v>
      </c>
      <c r="AQ990" s="30" t="s">
        <v>98</v>
      </c>
      <c r="AV990" s="28">
        <f>AW990+AX990</f>
        <v>0</v>
      </c>
      <c r="AW990" s="28">
        <f>F990*AO990</f>
        <v>0</v>
      </c>
      <c r="AX990" s="28">
        <f>F990*AP990</f>
        <v>0</v>
      </c>
      <c r="AY990" s="30" t="s">
        <v>1750</v>
      </c>
      <c r="AZ990" s="30" t="s">
        <v>1751</v>
      </c>
      <c r="BA990" s="10" t="s">
        <v>1553</v>
      </c>
      <c r="BC990" s="28">
        <f>AW990+AX990</f>
        <v>0</v>
      </c>
      <c r="BD990" s="28">
        <f>G990/(100-BE990)*100</f>
        <v>0</v>
      </c>
      <c r="BE990" s="28">
        <v>0</v>
      </c>
      <c r="BF990" s="28">
        <f>990</f>
        <v>990</v>
      </c>
      <c r="BH990" s="28">
        <f>F990*AO990</f>
        <v>0</v>
      </c>
      <c r="BI990" s="28">
        <f>F990*AP990</f>
        <v>0</v>
      </c>
      <c r="BJ990" s="28">
        <f>F990*G990</f>
        <v>0</v>
      </c>
      <c r="BK990" s="28"/>
      <c r="BL990" s="28">
        <v>734</v>
      </c>
      <c r="BW990" s="28">
        <v>21</v>
      </c>
    </row>
    <row r="991" spans="1:75" x14ac:dyDescent="0.25">
      <c r="A991" s="31"/>
      <c r="C991" s="32" t="s">
        <v>75</v>
      </c>
      <c r="D991" s="32" t="s">
        <v>52</v>
      </c>
      <c r="F991" s="33">
        <v>3</v>
      </c>
      <c r="K991" s="34"/>
    </row>
    <row r="992" spans="1:75" ht="13.5" customHeight="1" x14ac:dyDescent="0.25">
      <c r="A992" s="2" t="s">
        <v>1761</v>
      </c>
      <c r="B992" s="3" t="s">
        <v>1762</v>
      </c>
      <c r="C992" s="83" t="s">
        <v>1763</v>
      </c>
      <c r="D992" s="80"/>
      <c r="E992" s="3" t="s">
        <v>137</v>
      </c>
      <c r="F992" s="28">
        <v>3</v>
      </c>
      <c r="G992" s="28">
        <v>0</v>
      </c>
      <c r="H992" s="28">
        <f>F992*AO992</f>
        <v>0</v>
      </c>
      <c r="I992" s="28">
        <f>F992*AP992</f>
        <v>0</v>
      </c>
      <c r="J992" s="28">
        <f>F992*G992</f>
        <v>0</v>
      </c>
      <c r="K992" s="29" t="s">
        <v>1491</v>
      </c>
      <c r="Z992" s="28">
        <f>IF(AQ992="5",BJ992,0)</f>
        <v>0</v>
      </c>
      <c r="AB992" s="28">
        <f>IF(AQ992="1",BH992,0)</f>
        <v>0</v>
      </c>
      <c r="AC992" s="28">
        <f>IF(AQ992="1",BI992,0)</f>
        <v>0</v>
      </c>
      <c r="AD992" s="28">
        <f>IF(AQ992="7",BH992,0)</f>
        <v>0</v>
      </c>
      <c r="AE992" s="28">
        <f>IF(AQ992="7",BI992,0)</f>
        <v>0</v>
      </c>
      <c r="AF992" s="28">
        <f>IF(AQ992="2",BH992,0)</f>
        <v>0</v>
      </c>
      <c r="AG992" s="28">
        <f>IF(AQ992="2",BI992,0)</f>
        <v>0</v>
      </c>
      <c r="AH992" s="28">
        <f>IF(AQ992="0",BJ992,0)</f>
        <v>0</v>
      </c>
      <c r="AI992" s="10" t="s">
        <v>1547</v>
      </c>
      <c r="AJ992" s="28">
        <f>IF(AN992=0,J992,0)</f>
        <v>0</v>
      </c>
      <c r="AK992" s="28">
        <f>IF(AN992=12,J992,0)</f>
        <v>0</v>
      </c>
      <c r="AL992" s="28">
        <f>IF(AN992=21,J992,0)</f>
        <v>0</v>
      </c>
      <c r="AN992" s="28">
        <v>21</v>
      </c>
      <c r="AO992" s="28">
        <f>G992*0.054825175</f>
        <v>0</v>
      </c>
      <c r="AP992" s="28">
        <f>G992*(1-0.054825175)</f>
        <v>0</v>
      </c>
      <c r="AQ992" s="30" t="s">
        <v>98</v>
      </c>
      <c r="AV992" s="28">
        <f>AW992+AX992</f>
        <v>0</v>
      </c>
      <c r="AW992" s="28">
        <f>F992*AO992</f>
        <v>0</v>
      </c>
      <c r="AX992" s="28">
        <f>F992*AP992</f>
        <v>0</v>
      </c>
      <c r="AY992" s="30" t="s">
        <v>1750</v>
      </c>
      <c r="AZ992" s="30" t="s">
        <v>1751</v>
      </c>
      <c r="BA992" s="10" t="s">
        <v>1553</v>
      </c>
      <c r="BC992" s="28">
        <f>AW992+AX992</f>
        <v>0</v>
      </c>
      <c r="BD992" s="28">
        <f>G992/(100-BE992)*100</f>
        <v>0</v>
      </c>
      <c r="BE992" s="28">
        <v>0</v>
      </c>
      <c r="BF992" s="28">
        <f>992</f>
        <v>992</v>
      </c>
      <c r="BH992" s="28">
        <f>F992*AO992</f>
        <v>0</v>
      </c>
      <c r="BI992" s="28">
        <f>F992*AP992</f>
        <v>0</v>
      </c>
      <c r="BJ992" s="28">
        <f>F992*G992</f>
        <v>0</v>
      </c>
      <c r="BK992" s="28"/>
      <c r="BL992" s="28">
        <v>734</v>
      </c>
      <c r="BW992" s="28">
        <v>21</v>
      </c>
    </row>
    <row r="993" spans="1:75" x14ac:dyDescent="0.25">
      <c r="A993" s="31"/>
      <c r="C993" s="32" t="s">
        <v>1764</v>
      </c>
      <c r="D993" s="32" t="s">
        <v>52</v>
      </c>
      <c r="F993" s="33">
        <v>3</v>
      </c>
      <c r="K993" s="34"/>
    </row>
    <row r="994" spans="1:75" ht="13.5" customHeight="1" x14ac:dyDescent="0.25">
      <c r="A994" s="2" t="s">
        <v>1765</v>
      </c>
      <c r="B994" s="3" t="s">
        <v>1766</v>
      </c>
      <c r="C994" s="83" t="s">
        <v>1767</v>
      </c>
      <c r="D994" s="80"/>
      <c r="E994" s="3" t="s">
        <v>137</v>
      </c>
      <c r="F994" s="28">
        <v>1</v>
      </c>
      <c r="G994" s="28">
        <v>0</v>
      </c>
      <c r="H994" s="28">
        <f>F994*AO994</f>
        <v>0</v>
      </c>
      <c r="I994" s="28">
        <f>F994*AP994</f>
        <v>0</v>
      </c>
      <c r="J994" s="28">
        <f>F994*G994</f>
        <v>0</v>
      </c>
      <c r="K994" s="29" t="s">
        <v>1491</v>
      </c>
      <c r="Z994" s="28">
        <f>IF(AQ994="5",BJ994,0)</f>
        <v>0</v>
      </c>
      <c r="AB994" s="28">
        <f>IF(AQ994="1",BH994,0)</f>
        <v>0</v>
      </c>
      <c r="AC994" s="28">
        <f>IF(AQ994="1",BI994,0)</f>
        <v>0</v>
      </c>
      <c r="AD994" s="28">
        <f>IF(AQ994="7",BH994,0)</f>
        <v>0</v>
      </c>
      <c r="AE994" s="28">
        <f>IF(AQ994="7",BI994,0)</f>
        <v>0</v>
      </c>
      <c r="AF994" s="28">
        <f>IF(AQ994="2",BH994,0)</f>
        <v>0</v>
      </c>
      <c r="AG994" s="28">
        <f>IF(AQ994="2",BI994,0)</f>
        <v>0</v>
      </c>
      <c r="AH994" s="28">
        <f>IF(AQ994="0",BJ994,0)</f>
        <v>0</v>
      </c>
      <c r="AI994" s="10" t="s">
        <v>1547</v>
      </c>
      <c r="AJ994" s="28">
        <f>IF(AN994=0,J994,0)</f>
        <v>0</v>
      </c>
      <c r="AK994" s="28">
        <f>IF(AN994=12,J994,0)</f>
        <v>0</v>
      </c>
      <c r="AL994" s="28">
        <f>IF(AN994=21,J994,0)</f>
        <v>0</v>
      </c>
      <c r="AN994" s="28">
        <v>21</v>
      </c>
      <c r="AO994" s="28">
        <f>G994*0.359772727</f>
        <v>0</v>
      </c>
      <c r="AP994" s="28">
        <f>G994*(1-0.359772727)</f>
        <v>0</v>
      </c>
      <c r="AQ994" s="30" t="s">
        <v>98</v>
      </c>
      <c r="AV994" s="28">
        <f>AW994+AX994</f>
        <v>0</v>
      </c>
      <c r="AW994" s="28">
        <f>F994*AO994</f>
        <v>0</v>
      </c>
      <c r="AX994" s="28">
        <f>F994*AP994</f>
        <v>0</v>
      </c>
      <c r="AY994" s="30" t="s">
        <v>1750</v>
      </c>
      <c r="AZ994" s="30" t="s">
        <v>1751</v>
      </c>
      <c r="BA994" s="10" t="s">
        <v>1553</v>
      </c>
      <c r="BC994" s="28">
        <f>AW994+AX994</f>
        <v>0</v>
      </c>
      <c r="BD994" s="28">
        <f>G994/(100-BE994)*100</f>
        <v>0</v>
      </c>
      <c r="BE994" s="28">
        <v>0</v>
      </c>
      <c r="BF994" s="28">
        <f>994</f>
        <v>994</v>
      </c>
      <c r="BH994" s="28">
        <f>F994*AO994</f>
        <v>0</v>
      </c>
      <c r="BI994" s="28">
        <f>F994*AP994</f>
        <v>0</v>
      </c>
      <c r="BJ994" s="28">
        <f>F994*G994</f>
        <v>0</v>
      </c>
      <c r="BK994" s="28"/>
      <c r="BL994" s="28">
        <v>734</v>
      </c>
      <c r="BW994" s="28">
        <v>21</v>
      </c>
    </row>
    <row r="995" spans="1:75" x14ac:dyDescent="0.25">
      <c r="A995" s="31"/>
      <c r="C995" s="32" t="s">
        <v>57</v>
      </c>
      <c r="D995" s="32" t="s">
        <v>52</v>
      </c>
      <c r="F995" s="33">
        <v>1</v>
      </c>
      <c r="K995" s="34"/>
    </row>
    <row r="996" spans="1:75" ht="13.5" customHeight="1" x14ac:dyDescent="0.25">
      <c r="A996" s="2" t="s">
        <v>1768</v>
      </c>
      <c r="B996" s="3" t="s">
        <v>1769</v>
      </c>
      <c r="C996" s="83" t="s">
        <v>1770</v>
      </c>
      <c r="D996" s="80"/>
      <c r="E996" s="3" t="s">
        <v>137</v>
      </c>
      <c r="F996" s="28">
        <v>2</v>
      </c>
      <c r="G996" s="28">
        <v>0</v>
      </c>
      <c r="H996" s="28">
        <f>F996*AO996</f>
        <v>0</v>
      </c>
      <c r="I996" s="28">
        <f>F996*AP996</f>
        <v>0</v>
      </c>
      <c r="J996" s="28">
        <f>F996*G996</f>
        <v>0</v>
      </c>
      <c r="K996" s="29" t="s">
        <v>1491</v>
      </c>
      <c r="Z996" s="28">
        <f>IF(AQ996="5",BJ996,0)</f>
        <v>0</v>
      </c>
      <c r="AB996" s="28">
        <f>IF(AQ996="1",BH996,0)</f>
        <v>0</v>
      </c>
      <c r="AC996" s="28">
        <f>IF(AQ996="1",BI996,0)</f>
        <v>0</v>
      </c>
      <c r="AD996" s="28">
        <f>IF(AQ996="7",BH996,0)</f>
        <v>0</v>
      </c>
      <c r="AE996" s="28">
        <f>IF(AQ996="7",BI996,0)</f>
        <v>0</v>
      </c>
      <c r="AF996" s="28">
        <f>IF(AQ996="2",BH996,0)</f>
        <v>0</v>
      </c>
      <c r="AG996" s="28">
        <f>IF(AQ996="2",BI996,0)</f>
        <v>0</v>
      </c>
      <c r="AH996" s="28">
        <f>IF(AQ996="0",BJ996,0)</f>
        <v>0</v>
      </c>
      <c r="AI996" s="10" t="s">
        <v>1547</v>
      </c>
      <c r="AJ996" s="28">
        <f>IF(AN996=0,J996,0)</f>
        <v>0</v>
      </c>
      <c r="AK996" s="28">
        <f>IF(AN996=12,J996,0)</f>
        <v>0</v>
      </c>
      <c r="AL996" s="28">
        <f>IF(AN996=21,J996,0)</f>
        <v>0</v>
      </c>
      <c r="AN996" s="28">
        <v>21</v>
      </c>
      <c r="AO996" s="28">
        <f>G996*0.342138155</f>
        <v>0</v>
      </c>
      <c r="AP996" s="28">
        <f>G996*(1-0.342138155)</f>
        <v>0</v>
      </c>
      <c r="AQ996" s="30" t="s">
        <v>98</v>
      </c>
      <c r="AV996" s="28">
        <f>AW996+AX996</f>
        <v>0</v>
      </c>
      <c r="AW996" s="28">
        <f>F996*AO996</f>
        <v>0</v>
      </c>
      <c r="AX996" s="28">
        <f>F996*AP996</f>
        <v>0</v>
      </c>
      <c r="AY996" s="30" t="s">
        <v>1750</v>
      </c>
      <c r="AZ996" s="30" t="s">
        <v>1751</v>
      </c>
      <c r="BA996" s="10" t="s">
        <v>1553</v>
      </c>
      <c r="BC996" s="28">
        <f>AW996+AX996</f>
        <v>0</v>
      </c>
      <c r="BD996" s="28">
        <f>G996/(100-BE996)*100</f>
        <v>0</v>
      </c>
      <c r="BE996" s="28">
        <v>0</v>
      </c>
      <c r="BF996" s="28">
        <f>996</f>
        <v>996</v>
      </c>
      <c r="BH996" s="28">
        <f>F996*AO996</f>
        <v>0</v>
      </c>
      <c r="BI996" s="28">
        <f>F996*AP996</f>
        <v>0</v>
      </c>
      <c r="BJ996" s="28">
        <f>F996*G996</f>
        <v>0</v>
      </c>
      <c r="BK996" s="28"/>
      <c r="BL996" s="28">
        <v>734</v>
      </c>
      <c r="BW996" s="28">
        <v>21</v>
      </c>
    </row>
    <row r="997" spans="1:75" x14ac:dyDescent="0.25">
      <c r="A997" s="31"/>
      <c r="C997" s="32" t="s">
        <v>68</v>
      </c>
      <c r="D997" s="32" t="s">
        <v>52</v>
      </c>
      <c r="F997" s="33">
        <v>2</v>
      </c>
      <c r="K997" s="34"/>
    </row>
    <row r="998" spans="1:75" ht="13.5" customHeight="1" x14ac:dyDescent="0.25">
      <c r="A998" s="2" t="s">
        <v>1771</v>
      </c>
      <c r="B998" s="3" t="s">
        <v>1772</v>
      </c>
      <c r="C998" s="83" t="s">
        <v>1773</v>
      </c>
      <c r="D998" s="80"/>
      <c r="E998" s="3" t="s">
        <v>167</v>
      </c>
      <c r="F998" s="28">
        <v>1</v>
      </c>
      <c r="G998" s="28">
        <v>0</v>
      </c>
      <c r="H998" s="28">
        <f>F998*AO998</f>
        <v>0</v>
      </c>
      <c r="I998" s="28">
        <f>F998*AP998</f>
        <v>0</v>
      </c>
      <c r="J998" s="28">
        <f>F998*G998</f>
        <v>0</v>
      </c>
      <c r="K998" s="29" t="s">
        <v>61</v>
      </c>
      <c r="Z998" s="28">
        <f>IF(AQ998="5",BJ998,0)</f>
        <v>0</v>
      </c>
      <c r="AB998" s="28">
        <f>IF(AQ998="1",BH998,0)</f>
        <v>0</v>
      </c>
      <c r="AC998" s="28">
        <f>IF(AQ998="1",BI998,0)</f>
        <v>0</v>
      </c>
      <c r="AD998" s="28">
        <f>IF(AQ998="7",BH998,0)</f>
        <v>0</v>
      </c>
      <c r="AE998" s="28">
        <f>IF(AQ998="7",BI998,0)</f>
        <v>0</v>
      </c>
      <c r="AF998" s="28">
        <f>IF(AQ998="2",BH998,0)</f>
        <v>0</v>
      </c>
      <c r="AG998" s="28">
        <f>IF(AQ998="2",BI998,0)</f>
        <v>0</v>
      </c>
      <c r="AH998" s="28">
        <f>IF(AQ998="0",BJ998,0)</f>
        <v>0</v>
      </c>
      <c r="AI998" s="10" t="s">
        <v>1547</v>
      </c>
      <c r="AJ998" s="28">
        <f>IF(AN998=0,J998,0)</f>
        <v>0</v>
      </c>
      <c r="AK998" s="28">
        <f>IF(AN998=12,J998,0)</f>
        <v>0</v>
      </c>
      <c r="AL998" s="28">
        <f>IF(AN998=21,J998,0)</f>
        <v>0</v>
      </c>
      <c r="AN998" s="28">
        <v>21</v>
      </c>
      <c r="AO998" s="28">
        <f>G998*0.902838625</f>
        <v>0</v>
      </c>
      <c r="AP998" s="28">
        <f>G998*(1-0.902838625)</f>
        <v>0</v>
      </c>
      <c r="AQ998" s="30" t="s">
        <v>98</v>
      </c>
      <c r="AV998" s="28">
        <f>AW998+AX998</f>
        <v>0</v>
      </c>
      <c r="AW998" s="28">
        <f>F998*AO998</f>
        <v>0</v>
      </c>
      <c r="AX998" s="28">
        <f>F998*AP998</f>
        <v>0</v>
      </c>
      <c r="AY998" s="30" t="s">
        <v>1750</v>
      </c>
      <c r="AZ998" s="30" t="s">
        <v>1751</v>
      </c>
      <c r="BA998" s="10" t="s">
        <v>1553</v>
      </c>
      <c r="BC998" s="28">
        <f>AW998+AX998</f>
        <v>0</v>
      </c>
      <c r="BD998" s="28">
        <f>G998/(100-BE998)*100</f>
        <v>0</v>
      </c>
      <c r="BE998" s="28">
        <v>0</v>
      </c>
      <c r="BF998" s="28">
        <f>998</f>
        <v>998</v>
      </c>
      <c r="BH998" s="28">
        <f>F998*AO998</f>
        <v>0</v>
      </c>
      <c r="BI998" s="28">
        <f>F998*AP998</f>
        <v>0</v>
      </c>
      <c r="BJ998" s="28">
        <f>F998*G998</f>
        <v>0</v>
      </c>
      <c r="BK998" s="28"/>
      <c r="BL998" s="28">
        <v>734</v>
      </c>
      <c r="BW998" s="28">
        <v>21</v>
      </c>
    </row>
    <row r="999" spans="1:75" x14ac:dyDescent="0.25">
      <c r="A999" s="31"/>
      <c r="C999" s="32" t="s">
        <v>57</v>
      </c>
      <c r="D999" s="32" t="s">
        <v>52</v>
      </c>
      <c r="F999" s="33">
        <v>1</v>
      </c>
      <c r="K999" s="34"/>
    </row>
    <row r="1000" spans="1:75" ht="13.5" customHeight="1" x14ac:dyDescent="0.25">
      <c r="A1000" s="2" t="s">
        <v>1774</v>
      </c>
      <c r="B1000" s="3" t="s">
        <v>1775</v>
      </c>
      <c r="C1000" s="83" t="s">
        <v>1776</v>
      </c>
      <c r="D1000" s="80"/>
      <c r="E1000" s="3" t="s">
        <v>137</v>
      </c>
      <c r="F1000" s="28">
        <v>1</v>
      </c>
      <c r="G1000" s="28">
        <v>0</v>
      </c>
      <c r="H1000" s="28">
        <f>F1000*AO1000</f>
        <v>0</v>
      </c>
      <c r="I1000" s="28">
        <f>F1000*AP1000</f>
        <v>0</v>
      </c>
      <c r="J1000" s="28">
        <f>F1000*G1000</f>
        <v>0</v>
      </c>
      <c r="K1000" s="29" t="s">
        <v>1777</v>
      </c>
      <c r="Z1000" s="28">
        <f>IF(AQ1000="5",BJ1000,0)</f>
        <v>0</v>
      </c>
      <c r="AB1000" s="28">
        <f>IF(AQ1000="1",BH1000,0)</f>
        <v>0</v>
      </c>
      <c r="AC1000" s="28">
        <f>IF(AQ1000="1",BI1000,0)</f>
        <v>0</v>
      </c>
      <c r="AD1000" s="28">
        <f>IF(AQ1000="7",BH1000,0)</f>
        <v>0</v>
      </c>
      <c r="AE1000" s="28">
        <f>IF(AQ1000="7",BI1000,0)</f>
        <v>0</v>
      </c>
      <c r="AF1000" s="28">
        <f>IF(AQ1000="2",BH1000,0)</f>
        <v>0</v>
      </c>
      <c r="AG1000" s="28">
        <f>IF(AQ1000="2",BI1000,0)</f>
        <v>0</v>
      </c>
      <c r="AH1000" s="28">
        <f>IF(AQ1000="0",BJ1000,0)</f>
        <v>0</v>
      </c>
      <c r="AI1000" s="10" t="s">
        <v>1547</v>
      </c>
      <c r="AJ1000" s="28">
        <f>IF(AN1000=0,J1000,0)</f>
        <v>0</v>
      </c>
      <c r="AK1000" s="28">
        <f>IF(AN1000=12,J1000,0)</f>
        <v>0</v>
      </c>
      <c r="AL1000" s="28">
        <f>IF(AN1000=21,J1000,0)</f>
        <v>0</v>
      </c>
      <c r="AN1000" s="28">
        <v>21</v>
      </c>
      <c r="AO1000" s="28">
        <f>G1000*0.760810056</f>
        <v>0</v>
      </c>
      <c r="AP1000" s="28">
        <f>G1000*(1-0.760810056)</f>
        <v>0</v>
      </c>
      <c r="AQ1000" s="30" t="s">
        <v>98</v>
      </c>
      <c r="AV1000" s="28">
        <f>AW1000+AX1000</f>
        <v>0</v>
      </c>
      <c r="AW1000" s="28">
        <f>F1000*AO1000</f>
        <v>0</v>
      </c>
      <c r="AX1000" s="28">
        <f>F1000*AP1000</f>
        <v>0</v>
      </c>
      <c r="AY1000" s="30" t="s">
        <v>1750</v>
      </c>
      <c r="AZ1000" s="30" t="s">
        <v>1751</v>
      </c>
      <c r="BA1000" s="10" t="s">
        <v>1553</v>
      </c>
      <c r="BC1000" s="28">
        <f>AW1000+AX1000</f>
        <v>0</v>
      </c>
      <c r="BD1000" s="28">
        <f>G1000/(100-BE1000)*100</f>
        <v>0</v>
      </c>
      <c r="BE1000" s="28">
        <v>0</v>
      </c>
      <c r="BF1000" s="28">
        <f>1000</f>
        <v>1000</v>
      </c>
      <c r="BH1000" s="28">
        <f>F1000*AO1000</f>
        <v>0</v>
      </c>
      <c r="BI1000" s="28">
        <f>F1000*AP1000</f>
        <v>0</v>
      </c>
      <c r="BJ1000" s="28">
        <f>F1000*G1000</f>
        <v>0</v>
      </c>
      <c r="BK1000" s="28"/>
      <c r="BL1000" s="28">
        <v>734</v>
      </c>
      <c r="BW1000" s="28">
        <v>21</v>
      </c>
    </row>
    <row r="1001" spans="1:75" x14ac:dyDescent="0.25">
      <c r="A1001" s="31"/>
      <c r="C1001" s="32" t="s">
        <v>57</v>
      </c>
      <c r="D1001" s="32" t="s">
        <v>1778</v>
      </c>
      <c r="F1001" s="33">
        <v>1</v>
      </c>
      <c r="K1001" s="34"/>
    </row>
    <row r="1002" spans="1:75" ht="13.5" customHeight="1" x14ac:dyDescent="0.25">
      <c r="A1002" s="2" t="s">
        <v>1779</v>
      </c>
      <c r="B1002" s="3" t="s">
        <v>1780</v>
      </c>
      <c r="C1002" s="83" t="s">
        <v>1781</v>
      </c>
      <c r="D1002" s="80"/>
      <c r="E1002" s="3" t="s">
        <v>137</v>
      </c>
      <c r="F1002" s="28">
        <v>1</v>
      </c>
      <c r="G1002" s="28">
        <v>0</v>
      </c>
      <c r="H1002" s="28">
        <f>F1002*AO1002</f>
        <v>0</v>
      </c>
      <c r="I1002" s="28">
        <f>F1002*AP1002</f>
        <v>0</v>
      </c>
      <c r="J1002" s="28">
        <f>F1002*G1002</f>
        <v>0</v>
      </c>
      <c r="K1002" s="29" t="s">
        <v>1602</v>
      </c>
      <c r="Z1002" s="28">
        <f>IF(AQ1002="5",BJ1002,0)</f>
        <v>0</v>
      </c>
      <c r="AB1002" s="28">
        <f>IF(AQ1002="1",BH1002,0)</f>
        <v>0</v>
      </c>
      <c r="AC1002" s="28">
        <f>IF(AQ1002="1",BI1002,0)</f>
        <v>0</v>
      </c>
      <c r="AD1002" s="28">
        <f>IF(AQ1002="7",BH1002,0)</f>
        <v>0</v>
      </c>
      <c r="AE1002" s="28">
        <f>IF(AQ1002="7",BI1002,0)</f>
        <v>0</v>
      </c>
      <c r="AF1002" s="28">
        <f>IF(AQ1002="2",BH1002,0)</f>
        <v>0</v>
      </c>
      <c r="AG1002" s="28">
        <f>IF(AQ1002="2",BI1002,0)</f>
        <v>0</v>
      </c>
      <c r="AH1002" s="28">
        <f>IF(AQ1002="0",BJ1002,0)</f>
        <v>0</v>
      </c>
      <c r="AI1002" s="10" t="s">
        <v>1547</v>
      </c>
      <c r="AJ1002" s="28">
        <f>IF(AN1002=0,J1002,0)</f>
        <v>0</v>
      </c>
      <c r="AK1002" s="28">
        <f>IF(AN1002=12,J1002,0)</f>
        <v>0</v>
      </c>
      <c r="AL1002" s="28">
        <f>IF(AN1002=21,J1002,0)</f>
        <v>0</v>
      </c>
      <c r="AN1002" s="28">
        <v>21</v>
      </c>
      <c r="AO1002" s="28">
        <f>G1002*0.874119639</f>
        <v>0</v>
      </c>
      <c r="AP1002" s="28">
        <f>G1002*(1-0.874119639)</f>
        <v>0</v>
      </c>
      <c r="AQ1002" s="30" t="s">
        <v>98</v>
      </c>
      <c r="AV1002" s="28">
        <f>AW1002+AX1002</f>
        <v>0</v>
      </c>
      <c r="AW1002" s="28">
        <f>F1002*AO1002</f>
        <v>0</v>
      </c>
      <c r="AX1002" s="28">
        <f>F1002*AP1002</f>
        <v>0</v>
      </c>
      <c r="AY1002" s="30" t="s">
        <v>1750</v>
      </c>
      <c r="AZ1002" s="30" t="s">
        <v>1751</v>
      </c>
      <c r="BA1002" s="10" t="s">
        <v>1553</v>
      </c>
      <c r="BC1002" s="28">
        <f>AW1002+AX1002</f>
        <v>0</v>
      </c>
      <c r="BD1002" s="28">
        <f>G1002/(100-BE1002)*100</f>
        <v>0</v>
      </c>
      <c r="BE1002" s="28">
        <v>0</v>
      </c>
      <c r="BF1002" s="28">
        <f>1002</f>
        <v>1002</v>
      </c>
      <c r="BH1002" s="28">
        <f>F1002*AO1002</f>
        <v>0</v>
      </c>
      <c r="BI1002" s="28">
        <f>F1002*AP1002</f>
        <v>0</v>
      </c>
      <c r="BJ1002" s="28">
        <f>F1002*G1002</f>
        <v>0</v>
      </c>
      <c r="BK1002" s="28"/>
      <c r="BL1002" s="28">
        <v>734</v>
      </c>
      <c r="BW1002" s="28">
        <v>21</v>
      </c>
    </row>
    <row r="1003" spans="1:75" x14ac:dyDescent="0.25">
      <c r="A1003" s="31"/>
      <c r="C1003" s="32" t="s">
        <v>57</v>
      </c>
      <c r="D1003" s="32" t="s">
        <v>52</v>
      </c>
      <c r="F1003" s="33">
        <v>1</v>
      </c>
      <c r="K1003" s="34"/>
    </row>
    <row r="1004" spans="1:75" ht="13.5" customHeight="1" x14ac:dyDescent="0.25">
      <c r="A1004" s="2" t="s">
        <v>1782</v>
      </c>
      <c r="B1004" s="3" t="s">
        <v>1783</v>
      </c>
      <c r="C1004" s="83" t="s">
        <v>1784</v>
      </c>
      <c r="D1004" s="80"/>
      <c r="E1004" s="3" t="s">
        <v>137</v>
      </c>
      <c r="F1004" s="28">
        <v>1</v>
      </c>
      <c r="G1004" s="28">
        <v>0</v>
      </c>
      <c r="H1004" s="28">
        <f>F1004*AO1004</f>
        <v>0</v>
      </c>
      <c r="I1004" s="28">
        <f>F1004*AP1004</f>
        <v>0</v>
      </c>
      <c r="J1004" s="28">
        <f>F1004*G1004</f>
        <v>0</v>
      </c>
      <c r="K1004" s="29" t="s">
        <v>61</v>
      </c>
      <c r="Z1004" s="28">
        <f>IF(AQ1004="5",BJ1004,0)</f>
        <v>0</v>
      </c>
      <c r="AB1004" s="28">
        <f>IF(AQ1004="1",BH1004,0)</f>
        <v>0</v>
      </c>
      <c r="AC1004" s="28">
        <f>IF(AQ1004="1",BI1004,0)</f>
        <v>0</v>
      </c>
      <c r="AD1004" s="28">
        <f>IF(AQ1004="7",BH1004,0)</f>
        <v>0</v>
      </c>
      <c r="AE1004" s="28">
        <f>IF(AQ1004="7",BI1004,0)</f>
        <v>0</v>
      </c>
      <c r="AF1004" s="28">
        <f>IF(AQ1004="2",BH1004,0)</f>
        <v>0</v>
      </c>
      <c r="AG1004" s="28">
        <f>IF(AQ1004="2",BI1004,0)</f>
        <v>0</v>
      </c>
      <c r="AH1004" s="28">
        <f>IF(AQ1004="0",BJ1004,0)</f>
        <v>0</v>
      </c>
      <c r="AI1004" s="10" t="s">
        <v>1547</v>
      </c>
      <c r="AJ1004" s="28">
        <f>IF(AN1004=0,J1004,0)</f>
        <v>0</v>
      </c>
      <c r="AK1004" s="28">
        <f>IF(AN1004=12,J1004,0)</f>
        <v>0</v>
      </c>
      <c r="AL1004" s="28">
        <f>IF(AN1004=21,J1004,0)</f>
        <v>0</v>
      </c>
      <c r="AN1004" s="28">
        <v>21</v>
      </c>
      <c r="AO1004" s="28">
        <f>G1004*0.485693252</f>
        <v>0</v>
      </c>
      <c r="AP1004" s="28">
        <f>G1004*(1-0.485693252)</f>
        <v>0</v>
      </c>
      <c r="AQ1004" s="30" t="s">
        <v>98</v>
      </c>
      <c r="AV1004" s="28">
        <f>AW1004+AX1004</f>
        <v>0</v>
      </c>
      <c r="AW1004" s="28">
        <f>F1004*AO1004</f>
        <v>0</v>
      </c>
      <c r="AX1004" s="28">
        <f>F1004*AP1004</f>
        <v>0</v>
      </c>
      <c r="AY1004" s="30" t="s">
        <v>1750</v>
      </c>
      <c r="AZ1004" s="30" t="s">
        <v>1751</v>
      </c>
      <c r="BA1004" s="10" t="s">
        <v>1553</v>
      </c>
      <c r="BC1004" s="28">
        <f>AW1004+AX1004</f>
        <v>0</v>
      </c>
      <c r="BD1004" s="28">
        <f>G1004/(100-BE1004)*100</f>
        <v>0</v>
      </c>
      <c r="BE1004" s="28">
        <v>0</v>
      </c>
      <c r="BF1004" s="28">
        <f>1004</f>
        <v>1004</v>
      </c>
      <c r="BH1004" s="28">
        <f>F1004*AO1004</f>
        <v>0</v>
      </c>
      <c r="BI1004" s="28">
        <f>F1004*AP1004</f>
        <v>0</v>
      </c>
      <c r="BJ1004" s="28">
        <f>F1004*G1004</f>
        <v>0</v>
      </c>
      <c r="BK1004" s="28"/>
      <c r="BL1004" s="28">
        <v>734</v>
      </c>
      <c r="BW1004" s="28">
        <v>21</v>
      </c>
    </row>
    <row r="1005" spans="1:75" x14ac:dyDescent="0.25">
      <c r="A1005" s="31"/>
      <c r="C1005" s="32" t="s">
        <v>57</v>
      </c>
      <c r="D1005" s="32" t="s">
        <v>52</v>
      </c>
      <c r="F1005" s="33">
        <v>1</v>
      </c>
      <c r="K1005" s="34"/>
    </row>
    <row r="1006" spans="1:75" ht="13.5" customHeight="1" x14ac:dyDescent="0.25">
      <c r="A1006" s="2" t="s">
        <v>1785</v>
      </c>
      <c r="B1006" s="3" t="s">
        <v>1786</v>
      </c>
      <c r="C1006" s="83" t="s">
        <v>1787</v>
      </c>
      <c r="D1006" s="80"/>
      <c r="E1006" s="3" t="s">
        <v>137</v>
      </c>
      <c r="F1006" s="28">
        <v>1</v>
      </c>
      <c r="G1006" s="28">
        <v>0</v>
      </c>
      <c r="H1006" s="28">
        <f>F1006*AO1006</f>
        <v>0</v>
      </c>
      <c r="I1006" s="28">
        <f>F1006*AP1006</f>
        <v>0</v>
      </c>
      <c r="J1006" s="28">
        <f>F1006*G1006</f>
        <v>0</v>
      </c>
      <c r="K1006" s="29" t="s">
        <v>61</v>
      </c>
      <c r="Z1006" s="28">
        <f>IF(AQ1006="5",BJ1006,0)</f>
        <v>0</v>
      </c>
      <c r="AB1006" s="28">
        <f>IF(AQ1006="1",BH1006,0)</f>
        <v>0</v>
      </c>
      <c r="AC1006" s="28">
        <f>IF(AQ1006="1",BI1006,0)</f>
        <v>0</v>
      </c>
      <c r="AD1006" s="28">
        <f>IF(AQ1006="7",BH1006,0)</f>
        <v>0</v>
      </c>
      <c r="AE1006" s="28">
        <f>IF(AQ1006="7",BI1006,0)</f>
        <v>0</v>
      </c>
      <c r="AF1006" s="28">
        <f>IF(AQ1006="2",BH1006,0)</f>
        <v>0</v>
      </c>
      <c r="AG1006" s="28">
        <f>IF(AQ1006="2",BI1006,0)</f>
        <v>0</v>
      </c>
      <c r="AH1006" s="28">
        <f>IF(AQ1006="0",BJ1006,0)</f>
        <v>0</v>
      </c>
      <c r="AI1006" s="10" t="s">
        <v>1547</v>
      </c>
      <c r="AJ1006" s="28">
        <f>IF(AN1006=0,J1006,0)</f>
        <v>0</v>
      </c>
      <c r="AK1006" s="28">
        <f>IF(AN1006=12,J1006,0)</f>
        <v>0</v>
      </c>
      <c r="AL1006" s="28">
        <f>IF(AN1006=21,J1006,0)</f>
        <v>0</v>
      </c>
      <c r="AN1006" s="28">
        <v>21</v>
      </c>
      <c r="AO1006" s="28">
        <f>G1006*0.796918605</f>
        <v>0</v>
      </c>
      <c r="AP1006" s="28">
        <f>G1006*(1-0.796918605)</f>
        <v>0</v>
      </c>
      <c r="AQ1006" s="30" t="s">
        <v>98</v>
      </c>
      <c r="AV1006" s="28">
        <f>AW1006+AX1006</f>
        <v>0</v>
      </c>
      <c r="AW1006" s="28">
        <f>F1006*AO1006</f>
        <v>0</v>
      </c>
      <c r="AX1006" s="28">
        <f>F1006*AP1006</f>
        <v>0</v>
      </c>
      <c r="AY1006" s="30" t="s">
        <v>1750</v>
      </c>
      <c r="AZ1006" s="30" t="s">
        <v>1751</v>
      </c>
      <c r="BA1006" s="10" t="s">
        <v>1553</v>
      </c>
      <c r="BC1006" s="28">
        <f>AW1006+AX1006</f>
        <v>0</v>
      </c>
      <c r="BD1006" s="28">
        <f>G1006/(100-BE1006)*100</f>
        <v>0</v>
      </c>
      <c r="BE1006" s="28">
        <v>0</v>
      </c>
      <c r="BF1006" s="28">
        <f>1006</f>
        <v>1006</v>
      </c>
      <c r="BH1006" s="28">
        <f>F1006*AO1006</f>
        <v>0</v>
      </c>
      <c r="BI1006" s="28">
        <f>F1006*AP1006</f>
        <v>0</v>
      </c>
      <c r="BJ1006" s="28">
        <f>F1006*G1006</f>
        <v>0</v>
      </c>
      <c r="BK1006" s="28"/>
      <c r="BL1006" s="28">
        <v>734</v>
      </c>
      <c r="BW1006" s="28">
        <v>21</v>
      </c>
    </row>
    <row r="1007" spans="1:75" x14ac:dyDescent="0.25">
      <c r="A1007" s="31"/>
      <c r="C1007" s="32" t="s">
        <v>57</v>
      </c>
      <c r="D1007" s="32" t="s">
        <v>52</v>
      </c>
      <c r="F1007" s="33">
        <v>1</v>
      </c>
      <c r="K1007" s="34"/>
    </row>
    <row r="1008" spans="1:75" ht="13.5" customHeight="1" x14ac:dyDescent="0.25">
      <c r="A1008" s="2" t="s">
        <v>1788</v>
      </c>
      <c r="B1008" s="3" t="s">
        <v>1789</v>
      </c>
      <c r="C1008" s="83" t="s">
        <v>1790</v>
      </c>
      <c r="D1008" s="80"/>
      <c r="E1008" s="3" t="s">
        <v>137</v>
      </c>
      <c r="F1008" s="28">
        <v>1</v>
      </c>
      <c r="G1008" s="28">
        <v>0</v>
      </c>
      <c r="H1008" s="28">
        <f>F1008*AO1008</f>
        <v>0</v>
      </c>
      <c r="I1008" s="28">
        <f>F1008*AP1008</f>
        <v>0</v>
      </c>
      <c r="J1008" s="28">
        <f>F1008*G1008</f>
        <v>0</v>
      </c>
      <c r="K1008" s="29" t="s">
        <v>61</v>
      </c>
      <c r="Z1008" s="28">
        <f>IF(AQ1008="5",BJ1008,0)</f>
        <v>0</v>
      </c>
      <c r="AB1008" s="28">
        <f>IF(AQ1008="1",BH1008,0)</f>
        <v>0</v>
      </c>
      <c r="AC1008" s="28">
        <f>IF(AQ1008="1",BI1008,0)</f>
        <v>0</v>
      </c>
      <c r="AD1008" s="28">
        <f>IF(AQ1008="7",BH1008,0)</f>
        <v>0</v>
      </c>
      <c r="AE1008" s="28">
        <f>IF(AQ1008="7",BI1008,0)</f>
        <v>0</v>
      </c>
      <c r="AF1008" s="28">
        <f>IF(AQ1008="2",BH1008,0)</f>
        <v>0</v>
      </c>
      <c r="AG1008" s="28">
        <f>IF(AQ1008="2",BI1008,0)</f>
        <v>0</v>
      </c>
      <c r="AH1008" s="28">
        <f>IF(AQ1008="0",BJ1008,0)</f>
        <v>0</v>
      </c>
      <c r="AI1008" s="10" t="s">
        <v>1547</v>
      </c>
      <c r="AJ1008" s="28">
        <f>IF(AN1008=0,J1008,0)</f>
        <v>0</v>
      </c>
      <c r="AK1008" s="28">
        <f>IF(AN1008=12,J1008,0)</f>
        <v>0</v>
      </c>
      <c r="AL1008" s="28">
        <f>IF(AN1008=21,J1008,0)</f>
        <v>0</v>
      </c>
      <c r="AN1008" s="28">
        <v>21</v>
      </c>
      <c r="AO1008" s="28">
        <f>G1008*0</f>
        <v>0</v>
      </c>
      <c r="AP1008" s="28">
        <f>G1008*(1-0)</f>
        <v>0</v>
      </c>
      <c r="AQ1008" s="30" t="s">
        <v>98</v>
      </c>
      <c r="AV1008" s="28">
        <f>AW1008+AX1008</f>
        <v>0</v>
      </c>
      <c r="AW1008" s="28">
        <f>F1008*AO1008</f>
        <v>0</v>
      </c>
      <c r="AX1008" s="28">
        <f>F1008*AP1008</f>
        <v>0</v>
      </c>
      <c r="AY1008" s="30" t="s">
        <v>1750</v>
      </c>
      <c r="AZ1008" s="30" t="s">
        <v>1751</v>
      </c>
      <c r="BA1008" s="10" t="s">
        <v>1553</v>
      </c>
      <c r="BC1008" s="28">
        <f>AW1008+AX1008</f>
        <v>0</v>
      </c>
      <c r="BD1008" s="28">
        <f>G1008/(100-BE1008)*100</f>
        <v>0</v>
      </c>
      <c r="BE1008" s="28">
        <v>0</v>
      </c>
      <c r="BF1008" s="28">
        <f>1008</f>
        <v>1008</v>
      </c>
      <c r="BH1008" s="28">
        <f>F1008*AO1008</f>
        <v>0</v>
      </c>
      <c r="BI1008" s="28">
        <f>F1008*AP1008</f>
        <v>0</v>
      </c>
      <c r="BJ1008" s="28">
        <f>F1008*G1008</f>
        <v>0</v>
      </c>
      <c r="BK1008" s="28"/>
      <c r="BL1008" s="28">
        <v>734</v>
      </c>
      <c r="BW1008" s="28">
        <v>21</v>
      </c>
    </row>
    <row r="1009" spans="1:75" x14ac:dyDescent="0.25">
      <c r="A1009" s="31"/>
      <c r="C1009" s="32" t="s">
        <v>57</v>
      </c>
      <c r="D1009" s="32" t="s">
        <v>52</v>
      </c>
      <c r="F1009" s="33">
        <v>1</v>
      </c>
      <c r="K1009" s="34"/>
    </row>
    <row r="1010" spans="1:75" ht="13.5" customHeight="1" x14ac:dyDescent="0.25">
      <c r="A1010" s="2" t="s">
        <v>1791</v>
      </c>
      <c r="B1010" s="3" t="s">
        <v>1792</v>
      </c>
      <c r="C1010" s="83" t="s">
        <v>1793</v>
      </c>
      <c r="D1010" s="80"/>
      <c r="E1010" s="3" t="s">
        <v>137</v>
      </c>
      <c r="F1010" s="28">
        <v>1</v>
      </c>
      <c r="G1010" s="28">
        <v>0</v>
      </c>
      <c r="H1010" s="28">
        <f>F1010*AO1010</f>
        <v>0</v>
      </c>
      <c r="I1010" s="28">
        <f>F1010*AP1010</f>
        <v>0</v>
      </c>
      <c r="J1010" s="28">
        <f>F1010*G1010</f>
        <v>0</v>
      </c>
      <c r="K1010" s="29" t="s">
        <v>61</v>
      </c>
      <c r="Z1010" s="28">
        <f>IF(AQ1010="5",BJ1010,0)</f>
        <v>0</v>
      </c>
      <c r="AB1010" s="28">
        <f>IF(AQ1010="1",BH1010,0)</f>
        <v>0</v>
      </c>
      <c r="AC1010" s="28">
        <f>IF(AQ1010="1",BI1010,0)</f>
        <v>0</v>
      </c>
      <c r="AD1010" s="28">
        <f>IF(AQ1010="7",BH1010,0)</f>
        <v>0</v>
      </c>
      <c r="AE1010" s="28">
        <f>IF(AQ1010="7",BI1010,0)</f>
        <v>0</v>
      </c>
      <c r="AF1010" s="28">
        <f>IF(AQ1010="2",BH1010,0)</f>
        <v>0</v>
      </c>
      <c r="AG1010" s="28">
        <f>IF(AQ1010="2",BI1010,0)</f>
        <v>0</v>
      </c>
      <c r="AH1010" s="28">
        <f>IF(AQ1010="0",BJ1010,0)</f>
        <v>0</v>
      </c>
      <c r="AI1010" s="10" t="s">
        <v>1547</v>
      </c>
      <c r="AJ1010" s="28">
        <f>IF(AN1010=0,J1010,0)</f>
        <v>0</v>
      </c>
      <c r="AK1010" s="28">
        <f>IF(AN1010=12,J1010,0)</f>
        <v>0</v>
      </c>
      <c r="AL1010" s="28">
        <f>IF(AN1010=21,J1010,0)</f>
        <v>0</v>
      </c>
      <c r="AN1010" s="28">
        <v>21</v>
      </c>
      <c r="AO1010" s="28">
        <f>G1010*0</f>
        <v>0</v>
      </c>
      <c r="AP1010" s="28">
        <f>G1010*(1-0)</f>
        <v>0</v>
      </c>
      <c r="AQ1010" s="30" t="s">
        <v>98</v>
      </c>
      <c r="AV1010" s="28">
        <f>AW1010+AX1010</f>
        <v>0</v>
      </c>
      <c r="AW1010" s="28">
        <f>F1010*AO1010</f>
        <v>0</v>
      </c>
      <c r="AX1010" s="28">
        <f>F1010*AP1010</f>
        <v>0</v>
      </c>
      <c r="AY1010" s="30" t="s">
        <v>1750</v>
      </c>
      <c r="AZ1010" s="30" t="s">
        <v>1751</v>
      </c>
      <c r="BA1010" s="10" t="s">
        <v>1553</v>
      </c>
      <c r="BC1010" s="28">
        <f>AW1010+AX1010</f>
        <v>0</v>
      </c>
      <c r="BD1010" s="28">
        <f>G1010/(100-BE1010)*100</f>
        <v>0</v>
      </c>
      <c r="BE1010" s="28">
        <v>0</v>
      </c>
      <c r="BF1010" s="28">
        <f>1010</f>
        <v>1010</v>
      </c>
      <c r="BH1010" s="28">
        <f>F1010*AO1010</f>
        <v>0</v>
      </c>
      <c r="BI1010" s="28">
        <f>F1010*AP1010</f>
        <v>0</v>
      </c>
      <c r="BJ1010" s="28">
        <f>F1010*G1010</f>
        <v>0</v>
      </c>
      <c r="BK1010" s="28"/>
      <c r="BL1010" s="28">
        <v>734</v>
      </c>
      <c r="BW1010" s="28">
        <v>21</v>
      </c>
    </row>
    <row r="1011" spans="1:75" x14ac:dyDescent="0.25">
      <c r="A1011" s="31"/>
      <c r="C1011" s="32" t="s">
        <v>57</v>
      </c>
      <c r="D1011" s="32" t="s">
        <v>52</v>
      </c>
      <c r="F1011" s="33">
        <v>1</v>
      </c>
      <c r="K1011" s="34"/>
    </row>
    <row r="1012" spans="1:75" ht="13.5" customHeight="1" x14ac:dyDescent="0.25">
      <c r="A1012" s="2" t="s">
        <v>1794</v>
      </c>
      <c r="B1012" s="3" t="s">
        <v>1795</v>
      </c>
      <c r="C1012" s="83" t="s">
        <v>1796</v>
      </c>
      <c r="D1012" s="80"/>
      <c r="E1012" s="3" t="s">
        <v>137</v>
      </c>
      <c r="F1012" s="28">
        <v>1</v>
      </c>
      <c r="G1012" s="28">
        <v>0</v>
      </c>
      <c r="H1012" s="28">
        <f>F1012*AO1012</f>
        <v>0</v>
      </c>
      <c r="I1012" s="28">
        <f>F1012*AP1012</f>
        <v>0</v>
      </c>
      <c r="J1012" s="28">
        <f>F1012*G1012</f>
        <v>0</v>
      </c>
      <c r="K1012" s="29" t="s">
        <v>61</v>
      </c>
      <c r="Z1012" s="28">
        <f>IF(AQ1012="5",BJ1012,0)</f>
        <v>0</v>
      </c>
      <c r="AB1012" s="28">
        <f>IF(AQ1012="1",BH1012,0)</f>
        <v>0</v>
      </c>
      <c r="AC1012" s="28">
        <f>IF(AQ1012="1",BI1012,0)</f>
        <v>0</v>
      </c>
      <c r="AD1012" s="28">
        <f>IF(AQ1012="7",BH1012,0)</f>
        <v>0</v>
      </c>
      <c r="AE1012" s="28">
        <f>IF(AQ1012="7",BI1012,0)</f>
        <v>0</v>
      </c>
      <c r="AF1012" s="28">
        <f>IF(AQ1012="2",BH1012,0)</f>
        <v>0</v>
      </c>
      <c r="AG1012" s="28">
        <f>IF(AQ1012="2",BI1012,0)</f>
        <v>0</v>
      </c>
      <c r="AH1012" s="28">
        <f>IF(AQ1012="0",BJ1012,0)</f>
        <v>0</v>
      </c>
      <c r="AI1012" s="10" t="s">
        <v>1547</v>
      </c>
      <c r="AJ1012" s="28">
        <f>IF(AN1012=0,J1012,0)</f>
        <v>0</v>
      </c>
      <c r="AK1012" s="28">
        <f>IF(AN1012=12,J1012,0)</f>
        <v>0</v>
      </c>
      <c r="AL1012" s="28">
        <f>IF(AN1012=21,J1012,0)</f>
        <v>0</v>
      </c>
      <c r="AN1012" s="28">
        <v>21</v>
      </c>
      <c r="AO1012" s="28">
        <f>G1012*0</f>
        <v>0</v>
      </c>
      <c r="AP1012" s="28">
        <f>G1012*(1-0)</f>
        <v>0</v>
      </c>
      <c r="AQ1012" s="30" t="s">
        <v>98</v>
      </c>
      <c r="AV1012" s="28">
        <f>AW1012+AX1012</f>
        <v>0</v>
      </c>
      <c r="AW1012" s="28">
        <f>F1012*AO1012</f>
        <v>0</v>
      </c>
      <c r="AX1012" s="28">
        <f>F1012*AP1012</f>
        <v>0</v>
      </c>
      <c r="AY1012" s="30" t="s">
        <v>1750</v>
      </c>
      <c r="AZ1012" s="30" t="s">
        <v>1751</v>
      </c>
      <c r="BA1012" s="10" t="s">
        <v>1553</v>
      </c>
      <c r="BC1012" s="28">
        <f>AW1012+AX1012</f>
        <v>0</v>
      </c>
      <c r="BD1012" s="28">
        <f>G1012/(100-BE1012)*100</f>
        <v>0</v>
      </c>
      <c r="BE1012" s="28">
        <v>0</v>
      </c>
      <c r="BF1012" s="28">
        <f>1012</f>
        <v>1012</v>
      </c>
      <c r="BH1012" s="28">
        <f>F1012*AO1012</f>
        <v>0</v>
      </c>
      <c r="BI1012" s="28">
        <f>F1012*AP1012</f>
        <v>0</v>
      </c>
      <c r="BJ1012" s="28">
        <f>F1012*G1012</f>
        <v>0</v>
      </c>
      <c r="BK1012" s="28"/>
      <c r="BL1012" s="28">
        <v>734</v>
      </c>
      <c r="BW1012" s="28">
        <v>21</v>
      </c>
    </row>
    <row r="1013" spans="1:75" x14ac:dyDescent="0.25">
      <c r="A1013" s="31"/>
      <c r="C1013" s="32" t="s">
        <v>57</v>
      </c>
      <c r="D1013" s="32" t="s">
        <v>52</v>
      </c>
      <c r="F1013" s="33">
        <v>1</v>
      </c>
      <c r="K1013" s="34"/>
    </row>
    <row r="1014" spans="1:75" ht="13.5" customHeight="1" x14ac:dyDescent="0.25">
      <c r="A1014" s="2" t="s">
        <v>1797</v>
      </c>
      <c r="B1014" s="3" t="s">
        <v>1798</v>
      </c>
      <c r="C1014" s="83" t="s">
        <v>1799</v>
      </c>
      <c r="D1014" s="80"/>
      <c r="E1014" s="3" t="s">
        <v>137</v>
      </c>
      <c r="F1014" s="28">
        <v>1</v>
      </c>
      <c r="G1014" s="28">
        <v>0</v>
      </c>
      <c r="H1014" s="28">
        <f>F1014*AO1014</f>
        <v>0</v>
      </c>
      <c r="I1014" s="28">
        <f>F1014*AP1014</f>
        <v>0</v>
      </c>
      <c r="J1014" s="28">
        <f>F1014*G1014</f>
        <v>0</v>
      </c>
      <c r="K1014" s="29" t="s">
        <v>61</v>
      </c>
      <c r="Z1014" s="28">
        <f>IF(AQ1014="5",BJ1014,0)</f>
        <v>0</v>
      </c>
      <c r="AB1014" s="28">
        <f>IF(AQ1014="1",BH1014,0)</f>
        <v>0</v>
      </c>
      <c r="AC1014" s="28">
        <f>IF(AQ1014="1",BI1014,0)</f>
        <v>0</v>
      </c>
      <c r="AD1014" s="28">
        <f>IF(AQ1014="7",BH1014,0)</f>
        <v>0</v>
      </c>
      <c r="AE1014" s="28">
        <f>IF(AQ1014="7",BI1014,0)</f>
        <v>0</v>
      </c>
      <c r="AF1014" s="28">
        <f>IF(AQ1014="2",BH1014,0)</f>
        <v>0</v>
      </c>
      <c r="AG1014" s="28">
        <f>IF(AQ1014="2",BI1014,0)</f>
        <v>0</v>
      </c>
      <c r="AH1014" s="28">
        <f>IF(AQ1014="0",BJ1014,0)</f>
        <v>0</v>
      </c>
      <c r="AI1014" s="10" t="s">
        <v>1547</v>
      </c>
      <c r="AJ1014" s="28">
        <f>IF(AN1014=0,J1014,0)</f>
        <v>0</v>
      </c>
      <c r="AK1014" s="28">
        <f>IF(AN1014=12,J1014,0)</f>
        <v>0</v>
      </c>
      <c r="AL1014" s="28">
        <f>IF(AN1014=21,J1014,0)</f>
        <v>0</v>
      </c>
      <c r="AN1014" s="28">
        <v>21</v>
      </c>
      <c r="AO1014" s="28">
        <f>G1014*0.92250515</f>
        <v>0</v>
      </c>
      <c r="AP1014" s="28">
        <f>G1014*(1-0.92250515)</f>
        <v>0</v>
      </c>
      <c r="AQ1014" s="30" t="s">
        <v>98</v>
      </c>
      <c r="AV1014" s="28">
        <f>AW1014+AX1014</f>
        <v>0</v>
      </c>
      <c r="AW1014" s="28">
        <f>F1014*AO1014</f>
        <v>0</v>
      </c>
      <c r="AX1014" s="28">
        <f>F1014*AP1014</f>
        <v>0</v>
      </c>
      <c r="AY1014" s="30" t="s">
        <v>1750</v>
      </c>
      <c r="AZ1014" s="30" t="s">
        <v>1751</v>
      </c>
      <c r="BA1014" s="10" t="s">
        <v>1553</v>
      </c>
      <c r="BC1014" s="28">
        <f>AW1014+AX1014</f>
        <v>0</v>
      </c>
      <c r="BD1014" s="28">
        <f>G1014/(100-BE1014)*100</f>
        <v>0</v>
      </c>
      <c r="BE1014" s="28">
        <v>0</v>
      </c>
      <c r="BF1014" s="28">
        <f>1014</f>
        <v>1014</v>
      </c>
      <c r="BH1014" s="28">
        <f>F1014*AO1014</f>
        <v>0</v>
      </c>
      <c r="BI1014" s="28">
        <f>F1014*AP1014</f>
        <v>0</v>
      </c>
      <c r="BJ1014" s="28">
        <f>F1014*G1014</f>
        <v>0</v>
      </c>
      <c r="BK1014" s="28"/>
      <c r="BL1014" s="28">
        <v>734</v>
      </c>
      <c r="BW1014" s="28">
        <v>21</v>
      </c>
    </row>
    <row r="1015" spans="1:75" x14ac:dyDescent="0.25">
      <c r="A1015" s="31"/>
      <c r="C1015" s="32" t="s">
        <v>57</v>
      </c>
      <c r="D1015" s="32" t="s">
        <v>52</v>
      </c>
      <c r="F1015" s="33">
        <v>1</v>
      </c>
      <c r="K1015" s="34"/>
    </row>
    <row r="1016" spans="1:75" ht="13.5" customHeight="1" x14ac:dyDescent="0.25">
      <c r="A1016" s="2" t="s">
        <v>1800</v>
      </c>
      <c r="B1016" s="3" t="s">
        <v>1801</v>
      </c>
      <c r="C1016" s="83" t="s">
        <v>1802</v>
      </c>
      <c r="D1016" s="80"/>
      <c r="E1016" s="3" t="s">
        <v>137</v>
      </c>
      <c r="F1016" s="28">
        <v>1</v>
      </c>
      <c r="G1016" s="28">
        <v>0</v>
      </c>
      <c r="H1016" s="28">
        <f>F1016*AO1016</f>
        <v>0</v>
      </c>
      <c r="I1016" s="28">
        <f>F1016*AP1016</f>
        <v>0</v>
      </c>
      <c r="J1016" s="28">
        <f>F1016*G1016</f>
        <v>0</v>
      </c>
      <c r="K1016" s="29" t="s">
        <v>61</v>
      </c>
      <c r="Z1016" s="28">
        <f>IF(AQ1016="5",BJ1016,0)</f>
        <v>0</v>
      </c>
      <c r="AB1016" s="28">
        <f>IF(AQ1016="1",BH1016,0)</f>
        <v>0</v>
      </c>
      <c r="AC1016" s="28">
        <f>IF(AQ1016="1",BI1016,0)</f>
        <v>0</v>
      </c>
      <c r="AD1016" s="28">
        <f>IF(AQ1016="7",BH1016,0)</f>
        <v>0</v>
      </c>
      <c r="AE1016" s="28">
        <f>IF(AQ1016="7",BI1016,0)</f>
        <v>0</v>
      </c>
      <c r="AF1016" s="28">
        <f>IF(AQ1016="2",BH1016,0)</f>
        <v>0</v>
      </c>
      <c r="AG1016" s="28">
        <f>IF(AQ1016="2",BI1016,0)</f>
        <v>0</v>
      </c>
      <c r="AH1016" s="28">
        <f>IF(AQ1016="0",BJ1016,0)</f>
        <v>0</v>
      </c>
      <c r="AI1016" s="10" t="s">
        <v>1547</v>
      </c>
      <c r="AJ1016" s="28">
        <f>IF(AN1016=0,J1016,0)</f>
        <v>0</v>
      </c>
      <c r="AK1016" s="28">
        <f>IF(AN1016=12,J1016,0)</f>
        <v>0</v>
      </c>
      <c r="AL1016" s="28">
        <f>IF(AN1016=21,J1016,0)</f>
        <v>0</v>
      </c>
      <c r="AN1016" s="28">
        <v>21</v>
      </c>
      <c r="AO1016" s="28">
        <f>G1016*1</f>
        <v>0</v>
      </c>
      <c r="AP1016" s="28">
        <f>G1016*(1-1)</f>
        <v>0</v>
      </c>
      <c r="AQ1016" s="30" t="s">
        <v>98</v>
      </c>
      <c r="AV1016" s="28">
        <f>AW1016+AX1016</f>
        <v>0</v>
      </c>
      <c r="AW1016" s="28">
        <f>F1016*AO1016</f>
        <v>0</v>
      </c>
      <c r="AX1016" s="28">
        <f>F1016*AP1016</f>
        <v>0</v>
      </c>
      <c r="AY1016" s="30" t="s">
        <v>1750</v>
      </c>
      <c r="AZ1016" s="30" t="s">
        <v>1751</v>
      </c>
      <c r="BA1016" s="10" t="s">
        <v>1553</v>
      </c>
      <c r="BC1016" s="28">
        <f>AW1016+AX1016</f>
        <v>0</v>
      </c>
      <c r="BD1016" s="28">
        <f>G1016/(100-BE1016)*100</f>
        <v>0</v>
      </c>
      <c r="BE1016" s="28">
        <v>0</v>
      </c>
      <c r="BF1016" s="28">
        <f>1016</f>
        <v>1016</v>
      </c>
      <c r="BH1016" s="28">
        <f>F1016*AO1016</f>
        <v>0</v>
      </c>
      <c r="BI1016" s="28">
        <f>F1016*AP1016</f>
        <v>0</v>
      </c>
      <c r="BJ1016" s="28">
        <f>F1016*G1016</f>
        <v>0</v>
      </c>
      <c r="BK1016" s="28"/>
      <c r="BL1016" s="28">
        <v>734</v>
      </c>
      <c r="BW1016" s="28">
        <v>21</v>
      </c>
    </row>
    <row r="1017" spans="1:75" x14ac:dyDescent="0.25">
      <c r="A1017" s="31"/>
      <c r="C1017" s="32" t="s">
        <v>57</v>
      </c>
      <c r="D1017" s="32" t="s">
        <v>52</v>
      </c>
      <c r="F1017" s="33">
        <v>1</v>
      </c>
      <c r="K1017" s="34"/>
    </row>
    <row r="1018" spans="1:75" ht="13.5" customHeight="1" x14ac:dyDescent="0.25">
      <c r="A1018" s="2" t="s">
        <v>1803</v>
      </c>
      <c r="B1018" s="3" t="s">
        <v>1804</v>
      </c>
      <c r="C1018" s="83" t="s">
        <v>1805</v>
      </c>
      <c r="D1018" s="80"/>
      <c r="E1018" s="3" t="s">
        <v>137</v>
      </c>
      <c r="F1018" s="28">
        <v>1</v>
      </c>
      <c r="G1018" s="28">
        <v>0</v>
      </c>
      <c r="H1018" s="28">
        <f>F1018*AO1018</f>
        <v>0</v>
      </c>
      <c r="I1018" s="28">
        <f>F1018*AP1018</f>
        <v>0</v>
      </c>
      <c r="J1018" s="28">
        <f>F1018*G1018</f>
        <v>0</v>
      </c>
      <c r="K1018" s="29" t="s">
        <v>61</v>
      </c>
      <c r="Z1018" s="28">
        <f>IF(AQ1018="5",BJ1018,0)</f>
        <v>0</v>
      </c>
      <c r="AB1018" s="28">
        <f>IF(AQ1018="1",BH1018,0)</f>
        <v>0</v>
      </c>
      <c r="AC1018" s="28">
        <f>IF(AQ1018="1",BI1018,0)</f>
        <v>0</v>
      </c>
      <c r="AD1018" s="28">
        <f>IF(AQ1018="7",BH1018,0)</f>
        <v>0</v>
      </c>
      <c r="AE1018" s="28">
        <f>IF(AQ1018="7",BI1018,0)</f>
        <v>0</v>
      </c>
      <c r="AF1018" s="28">
        <f>IF(AQ1018="2",BH1018,0)</f>
        <v>0</v>
      </c>
      <c r="AG1018" s="28">
        <f>IF(AQ1018="2",BI1018,0)</f>
        <v>0</v>
      </c>
      <c r="AH1018" s="28">
        <f>IF(AQ1018="0",BJ1018,0)</f>
        <v>0</v>
      </c>
      <c r="AI1018" s="10" t="s">
        <v>1547</v>
      </c>
      <c r="AJ1018" s="28">
        <f>IF(AN1018=0,J1018,0)</f>
        <v>0</v>
      </c>
      <c r="AK1018" s="28">
        <f>IF(AN1018=12,J1018,0)</f>
        <v>0</v>
      </c>
      <c r="AL1018" s="28">
        <f>IF(AN1018=21,J1018,0)</f>
        <v>0</v>
      </c>
      <c r="AN1018" s="28">
        <v>21</v>
      </c>
      <c r="AO1018" s="28">
        <f>G1018*1</f>
        <v>0</v>
      </c>
      <c r="AP1018" s="28">
        <f>G1018*(1-1)</f>
        <v>0</v>
      </c>
      <c r="AQ1018" s="30" t="s">
        <v>98</v>
      </c>
      <c r="AV1018" s="28">
        <f>AW1018+AX1018</f>
        <v>0</v>
      </c>
      <c r="AW1018" s="28">
        <f>F1018*AO1018</f>
        <v>0</v>
      </c>
      <c r="AX1018" s="28">
        <f>F1018*AP1018</f>
        <v>0</v>
      </c>
      <c r="AY1018" s="30" t="s">
        <v>1750</v>
      </c>
      <c r="AZ1018" s="30" t="s">
        <v>1751</v>
      </c>
      <c r="BA1018" s="10" t="s">
        <v>1553</v>
      </c>
      <c r="BC1018" s="28">
        <f>AW1018+AX1018</f>
        <v>0</v>
      </c>
      <c r="BD1018" s="28">
        <f>G1018/(100-BE1018)*100</f>
        <v>0</v>
      </c>
      <c r="BE1018" s="28">
        <v>0</v>
      </c>
      <c r="BF1018" s="28">
        <f>1018</f>
        <v>1018</v>
      </c>
      <c r="BH1018" s="28">
        <f>F1018*AO1018</f>
        <v>0</v>
      </c>
      <c r="BI1018" s="28">
        <f>F1018*AP1018</f>
        <v>0</v>
      </c>
      <c r="BJ1018" s="28">
        <f>F1018*G1018</f>
        <v>0</v>
      </c>
      <c r="BK1018" s="28"/>
      <c r="BL1018" s="28">
        <v>734</v>
      </c>
      <c r="BW1018" s="28">
        <v>21</v>
      </c>
    </row>
    <row r="1019" spans="1:75" x14ac:dyDescent="0.25">
      <c r="A1019" s="31"/>
      <c r="C1019" s="32" t="s">
        <v>57</v>
      </c>
      <c r="D1019" s="32" t="s">
        <v>52</v>
      </c>
      <c r="F1019" s="33">
        <v>1</v>
      </c>
      <c r="K1019" s="34"/>
    </row>
    <row r="1020" spans="1:75" ht="13.5" customHeight="1" x14ac:dyDescent="0.25">
      <c r="A1020" s="2" t="s">
        <v>1806</v>
      </c>
      <c r="B1020" s="3" t="s">
        <v>1807</v>
      </c>
      <c r="C1020" s="83" t="s">
        <v>1808</v>
      </c>
      <c r="D1020" s="80"/>
      <c r="E1020" s="3" t="s">
        <v>137</v>
      </c>
      <c r="F1020" s="28">
        <v>1</v>
      </c>
      <c r="G1020" s="28">
        <v>0</v>
      </c>
      <c r="H1020" s="28">
        <f>F1020*AO1020</f>
        <v>0</v>
      </c>
      <c r="I1020" s="28">
        <f>F1020*AP1020</f>
        <v>0</v>
      </c>
      <c r="J1020" s="28">
        <f>F1020*G1020</f>
        <v>0</v>
      </c>
      <c r="K1020" s="29" t="s">
        <v>61</v>
      </c>
      <c r="Z1020" s="28">
        <f>IF(AQ1020="5",BJ1020,0)</f>
        <v>0</v>
      </c>
      <c r="AB1020" s="28">
        <f>IF(AQ1020="1",BH1020,0)</f>
        <v>0</v>
      </c>
      <c r="AC1020" s="28">
        <f>IF(AQ1020="1",BI1020,0)</f>
        <v>0</v>
      </c>
      <c r="AD1020" s="28">
        <f>IF(AQ1020="7",BH1020,0)</f>
        <v>0</v>
      </c>
      <c r="AE1020" s="28">
        <f>IF(AQ1020="7",BI1020,0)</f>
        <v>0</v>
      </c>
      <c r="AF1020" s="28">
        <f>IF(AQ1020="2",BH1020,0)</f>
        <v>0</v>
      </c>
      <c r="AG1020" s="28">
        <f>IF(AQ1020="2",BI1020,0)</f>
        <v>0</v>
      </c>
      <c r="AH1020" s="28">
        <f>IF(AQ1020="0",BJ1020,0)</f>
        <v>0</v>
      </c>
      <c r="AI1020" s="10" t="s">
        <v>1547</v>
      </c>
      <c r="AJ1020" s="28">
        <f>IF(AN1020=0,J1020,0)</f>
        <v>0</v>
      </c>
      <c r="AK1020" s="28">
        <f>IF(AN1020=12,J1020,0)</f>
        <v>0</v>
      </c>
      <c r="AL1020" s="28">
        <f>IF(AN1020=21,J1020,0)</f>
        <v>0</v>
      </c>
      <c r="AN1020" s="28">
        <v>21</v>
      </c>
      <c r="AO1020" s="28">
        <f>G1020*1</f>
        <v>0</v>
      </c>
      <c r="AP1020" s="28">
        <f>G1020*(1-1)</f>
        <v>0</v>
      </c>
      <c r="AQ1020" s="30" t="s">
        <v>98</v>
      </c>
      <c r="AV1020" s="28">
        <f>AW1020+AX1020</f>
        <v>0</v>
      </c>
      <c r="AW1020" s="28">
        <f>F1020*AO1020</f>
        <v>0</v>
      </c>
      <c r="AX1020" s="28">
        <f>F1020*AP1020</f>
        <v>0</v>
      </c>
      <c r="AY1020" s="30" t="s">
        <v>1750</v>
      </c>
      <c r="AZ1020" s="30" t="s">
        <v>1751</v>
      </c>
      <c r="BA1020" s="10" t="s">
        <v>1553</v>
      </c>
      <c r="BC1020" s="28">
        <f>AW1020+AX1020</f>
        <v>0</v>
      </c>
      <c r="BD1020" s="28">
        <f>G1020/(100-BE1020)*100</f>
        <v>0</v>
      </c>
      <c r="BE1020" s="28">
        <v>0</v>
      </c>
      <c r="BF1020" s="28">
        <f>1020</f>
        <v>1020</v>
      </c>
      <c r="BH1020" s="28">
        <f>F1020*AO1020</f>
        <v>0</v>
      </c>
      <c r="BI1020" s="28">
        <f>F1020*AP1020</f>
        <v>0</v>
      </c>
      <c r="BJ1020" s="28">
        <f>F1020*G1020</f>
        <v>0</v>
      </c>
      <c r="BK1020" s="28"/>
      <c r="BL1020" s="28">
        <v>734</v>
      </c>
      <c r="BW1020" s="28">
        <v>21</v>
      </c>
    </row>
    <row r="1021" spans="1:75" x14ac:dyDescent="0.25">
      <c r="A1021" s="31"/>
      <c r="C1021" s="32" t="s">
        <v>57</v>
      </c>
      <c r="D1021" s="32" t="s">
        <v>52</v>
      </c>
      <c r="F1021" s="33">
        <v>1</v>
      </c>
      <c r="K1021" s="34"/>
    </row>
    <row r="1022" spans="1:75" ht="13.5" customHeight="1" x14ac:dyDescent="0.25">
      <c r="A1022" s="2" t="s">
        <v>1809</v>
      </c>
      <c r="B1022" s="3" t="s">
        <v>1810</v>
      </c>
      <c r="C1022" s="83" t="s">
        <v>1811</v>
      </c>
      <c r="D1022" s="80"/>
      <c r="E1022" s="3" t="s">
        <v>137</v>
      </c>
      <c r="F1022" s="28">
        <v>1</v>
      </c>
      <c r="G1022" s="28">
        <v>0</v>
      </c>
      <c r="H1022" s="28">
        <f>F1022*AO1022</f>
        <v>0</v>
      </c>
      <c r="I1022" s="28">
        <f>F1022*AP1022</f>
        <v>0</v>
      </c>
      <c r="J1022" s="28">
        <f>F1022*G1022</f>
        <v>0</v>
      </c>
      <c r="K1022" s="29" t="s">
        <v>61</v>
      </c>
      <c r="Z1022" s="28">
        <f>IF(AQ1022="5",BJ1022,0)</f>
        <v>0</v>
      </c>
      <c r="AB1022" s="28">
        <f>IF(AQ1022="1",BH1022,0)</f>
        <v>0</v>
      </c>
      <c r="AC1022" s="28">
        <f>IF(AQ1022="1",BI1022,0)</f>
        <v>0</v>
      </c>
      <c r="AD1022" s="28">
        <f>IF(AQ1022="7",BH1022,0)</f>
        <v>0</v>
      </c>
      <c r="AE1022" s="28">
        <f>IF(AQ1022="7",BI1022,0)</f>
        <v>0</v>
      </c>
      <c r="AF1022" s="28">
        <f>IF(AQ1022="2",BH1022,0)</f>
        <v>0</v>
      </c>
      <c r="AG1022" s="28">
        <f>IF(AQ1022="2",BI1022,0)</f>
        <v>0</v>
      </c>
      <c r="AH1022" s="28">
        <f>IF(AQ1022="0",BJ1022,0)</f>
        <v>0</v>
      </c>
      <c r="AI1022" s="10" t="s">
        <v>1547</v>
      </c>
      <c r="AJ1022" s="28">
        <f>IF(AN1022=0,J1022,0)</f>
        <v>0</v>
      </c>
      <c r="AK1022" s="28">
        <f>IF(AN1022=12,J1022,0)</f>
        <v>0</v>
      </c>
      <c r="AL1022" s="28">
        <f>IF(AN1022=21,J1022,0)</f>
        <v>0</v>
      </c>
      <c r="AN1022" s="28">
        <v>21</v>
      </c>
      <c r="AO1022" s="28">
        <f>G1022*1</f>
        <v>0</v>
      </c>
      <c r="AP1022" s="28">
        <f>G1022*(1-1)</f>
        <v>0</v>
      </c>
      <c r="AQ1022" s="30" t="s">
        <v>98</v>
      </c>
      <c r="AV1022" s="28">
        <f>AW1022+AX1022</f>
        <v>0</v>
      </c>
      <c r="AW1022" s="28">
        <f>F1022*AO1022</f>
        <v>0</v>
      </c>
      <c r="AX1022" s="28">
        <f>F1022*AP1022</f>
        <v>0</v>
      </c>
      <c r="AY1022" s="30" t="s">
        <v>1750</v>
      </c>
      <c r="AZ1022" s="30" t="s">
        <v>1751</v>
      </c>
      <c r="BA1022" s="10" t="s">
        <v>1553</v>
      </c>
      <c r="BC1022" s="28">
        <f>AW1022+AX1022</f>
        <v>0</v>
      </c>
      <c r="BD1022" s="28">
        <f>G1022/(100-BE1022)*100</f>
        <v>0</v>
      </c>
      <c r="BE1022" s="28">
        <v>0</v>
      </c>
      <c r="BF1022" s="28">
        <f>1022</f>
        <v>1022</v>
      </c>
      <c r="BH1022" s="28">
        <f>F1022*AO1022</f>
        <v>0</v>
      </c>
      <c r="BI1022" s="28">
        <f>F1022*AP1022</f>
        <v>0</v>
      </c>
      <c r="BJ1022" s="28">
        <f>F1022*G1022</f>
        <v>0</v>
      </c>
      <c r="BK1022" s="28"/>
      <c r="BL1022" s="28">
        <v>734</v>
      </c>
      <c r="BW1022" s="28">
        <v>21</v>
      </c>
    </row>
    <row r="1023" spans="1:75" x14ac:dyDescent="0.25">
      <c r="A1023" s="31"/>
      <c r="C1023" s="32" t="s">
        <v>57</v>
      </c>
      <c r="D1023" s="32" t="s">
        <v>52</v>
      </c>
      <c r="F1023" s="33">
        <v>1</v>
      </c>
      <c r="K1023" s="34"/>
    </row>
    <row r="1024" spans="1:75" ht="13.5" customHeight="1" x14ac:dyDescent="0.25">
      <c r="A1024" s="2" t="s">
        <v>1812</v>
      </c>
      <c r="B1024" s="3" t="s">
        <v>1813</v>
      </c>
      <c r="C1024" s="83" t="s">
        <v>1814</v>
      </c>
      <c r="D1024" s="80"/>
      <c r="E1024" s="3" t="s">
        <v>137</v>
      </c>
      <c r="F1024" s="28">
        <v>1</v>
      </c>
      <c r="G1024" s="28">
        <v>0</v>
      </c>
      <c r="H1024" s="28">
        <f>F1024*AO1024</f>
        <v>0</v>
      </c>
      <c r="I1024" s="28">
        <f>F1024*AP1024</f>
        <v>0</v>
      </c>
      <c r="J1024" s="28">
        <f>F1024*G1024</f>
        <v>0</v>
      </c>
      <c r="K1024" s="29" t="s">
        <v>61</v>
      </c>
      <c r="Z1024" s="28">
        <f>IF(AQ1024="5",BJ1024,0)</f>
        <v>0</v>
      </c>
      <c r="AB1024" s="28">
        <f>IF(AQ1024="1",BH1024,0)</f>
        <v>0</v>
      </c>
      <c r="AC1024" s="28">
        <f>IF(AQ1024="1",BI1024,0)</f>
        <v>0</v>
      </c>
      <c r="AD1024" s="28">
        <f>IF(AQ1024="7",BH1024,0)</f>
        <v>0</v>
      </c>
      <c r="AE1024" s="28">
        <f>IF(AQ1024="7",BI1024,0)</f>
        <v>0</v>
      </c>
      <c r="AF1024" s="28">
        <f>IF(AQ1024="2",BH1024,0)</f>
        <v>0</v>
      </c>
      <c r="AG1024" s="28">
        <f>IF(AQ1024="2",BI1024,0)</f>
        <v>0</v>
      </c>
      <c r="AH1024" s="28">
        <f>IF(AQ1024="0",BJ1024,0)</f>
        <v>0</v>
      </c>
      <c r="AI1024" s="10" t="s">
        <v>1547</v>
      </c>
      <c r="AJ1024" s="28">
        <f>IF(AN1024=0,J1024,0)</f>
        <v>0</v>
      </c>
      <c r="AK1024" s="28">
        <f>IF(AN1024=12,J1024,0)</f>
        <v>0</v>
      </c>
      <c r="AL1024" s="28">
        <f>IF(AN1024=21,J1024,0)</f>
        <v>0</v>
      </c>
      <c r="AN1024" s="28">
        <v>21</v>
      </c>
      <c r="AO1024" s="28">
        <f>G1024*1</f>
        <v>0</v>
      </c>
      <c r="AP1024" s="28">
        <f>G1024*(1-1)</f>
        <v>0</v>
      </c>
      <c r="AQ1024" s="30" t="s">
        <v>98</v>
      </c>
      <c r="AV1024" s="28">
        <f>AW1024+AX1024</f>
        <v>0</v>
      </c>
      <c r="AW1024" s="28">
        <f>F1024*AO1024</f>
        <v>0</v>
      </c>
      <c r="AX1024" s="28">
        <f>F1024*AP1024</f>
        <v>0</v>
      </c>
      <c r="AY1024" s="30" t="s">
        <v>1750</v>
      </c>
      <c r="AZ1024" s="30" t="s">
        <v>1751</v>
      </c>
      <c r="BA1024" s="10" t="s">
        <v>1553</v>
      </c>
      <c r="BC1024" s="28">
        <f>AW1024+AX1024</f>
        <v>0</v>
      </c>
      <c r="BD1024" s="28">
        <f>G1024/(100-BE1024)*100</f>
        <v>0</v>
      </c>
      <c r="BE1024" s="28">
        <v>0</v>
      </c>
      <c r="BF1024" s="28">
        <f>1024</f>
        <v>1024</v>
      </c>
      <c r="BH1024" s="28">
        <f>F1024*AO1024</f>
        <v>0</v>
      </c>
      <c r="BI1024" s="28">
        <f>F1024*AP1024</f>
        <v>0</v>
      </c>
      <c r="BJ1024" s="28">
        <f>F1024*G1024</f>
        <v>0</v>
      </c>
      <c r="BK1024" s="28"/>
      <c r="BL1024" s="28">
        <v>734</v>
      </c>
      <c r="BW1024" s="28">
        <v>21</v>
      </c>
    </row>
    <row r="1025" spans="1:75" x14ac:dyDescent="0.25">
      <c r="A1025" s="31"/>
      <c r="C1025" s="32" t="s">
        <v>57</v>
      </c>
      <c r="D1025" s="32" t="s">
        <v>52</v>
      </c>
      <c r="F1025" s="33">
        <v>1</v>
      </c>
      <c r="K1025" s="34"/>
    </row>
    <row r="1026" spans="1:75" ht="13.5" customHeight="1" x14ac:dyDescent="0.25">
      <c r="A1026" s="2" t="s">
        <v>1815</v>
      </c>
      <c r="B1026" s="3" t="s">
        <v>1816</v>
      </c>
      <c r="C1026" s="83" t="s">
        <v>1817</v>
      </c>
      <c r="D1026" s="80"/>
      <c r="E1026" s="3" t="s">
        <v>137</v>
      </c>
      <c r="F1026" s="28">
        <v>1</v>
      </c>
      <c r="G1026" s="28">
        <v>0</v>
      </c>
      <c r="H1026" s="28">
        <f>F1026*AO1026</f>
        <v>0</v>
      </c>
      <c r="I1026" s="28">
        <f>F1026*AP1026</f>
        <v>0</v>
      </c>
      <c r="J1026" s="28">
        <f>F1026*G1026</f>
        <v>0</v>
      </c>
      <c r="K1026" s="29" t="s">
        <v>61</v>
      </c>
      <c r="Z1026" s="28">
        <f>IF(AQ1026="5",BJ1026,0)</f>
        <v>0</v>
      </c>
      <c r="AB1026" s="28">
        <f>IF(AQ1026="1",BH1026,0)</f>
        <v>0</v>
      </c>
      <c r="AC1026" s="28">
        <f>IF(AQ1026="1",BI1026,0)</f>
        <v>0</v>
      </c>
      <c r="AD1026" s="28">
        <f>IF(AQ1026="7",BH1026,0)</f>
        <v>0</v>
      </c>
      <c r="AE1026" s="28">
        <f>IF(AQ1026="7",BI1026,0)</f>
        <v>0</v>
      </c>
      <c r="AF1026" s="28">
        <f>IF(AQ1026="2",BH1026,0)</f>
        <v>0</v>
      </c>
      <c r="AG1026" s="28">
        <f>IF(AQ1026="2",BI1026,0)</f>
        <v>0</v>
      </c>
      <c r="AH1026" s="28">
        <f>IF(AQ1026="0",BJ1026,0)</f>
        <v>0</v>
      </c>
      <c r="AI1026" s="10" t="s">
        <v>1547</v>
      </c>
      <c r="AJ1026" s="28">
        <f>IF(AN1026=0,J1026,0)</f>
        <v>0</v>
      </c>
      <c r="AK1026" s="28">
        <f>IF(AN1026=12,J1026,0)</f>
        <v>0</v>
      </c>
      <c r="AL1026" s="28">
        <f>IF(AN1026=21,J1026,0)</f>
        <v>0</v>
      </c>
      <c r="AN1026" s="28">
        <v>21</v>
      </c>
      <c r="AO1026" s="28">
        <f>G1026*1</f>
        <v>0</v>
      </c>
      <c r="AP1026" s="28">
        <f>G1026*(1-1)</f>
        <v>0</v>
      </c>
      <c r="AQ1026" s="30" t="s">
        <v>98</v>
      </c>
      <c r="AV1026" s="28">
        <f>AW1026+AX1026</f>
        <v>0</v>
      </c>
      <c r="AW1026" s="28">
        <f>F1026*AO1026</f>
        <v>0</v>
      </c>
      <c r="AX1026" s="28">
        <f>F1026*AP1026</f>
        <v>0</v>
      </c>
      <c r="AY1026" s="30" t="s">
        <v>1750</v>
      </c>
      <c r="AZ1026" s="30" t="s">
        <v>1751</v>
      </c>
      <c r="BA1026" s="10" t="s">
        <v>1553</v>
      </c>
      <c r="BC1026" s="28">
        <f>AW1026+AX1026</f>
        <v>0</v>
      </c>
      <c r="BD1026" s="28">
        <f>G1026/(100-BE1026)*100</f>
        <v>0</v>
      </c>
      <c r="BE1026" s="28">
        <v>0</v>
      </c>
      <c r="BF1026" s="28">
        <f>1026</f>
        <v>1026</v>
      </c>
      <c r="BH1026" s="28">
        <f>F1026*AO1026</f>
        <v>0</v>
      </c>
      <c r="BI1026" s="28">
        <f>F1026*AP1026</f>
        <v>0</v>
      </c>
      <c r="BJ1026" s="28">
        <f>F1026*G1026</f>
        <v>0</v>
      </c>
      <c r="BK1026" s="28"/>
      <c r="BL1026" s="28">
        <v>734</v>
      </c>
      <c r="BW1026" s="28">
        <v>21</v>
      </c>
    </row>
    <row r="1027" spans="1:75" x14ac:dyDescent="0.25">
      <c r="A1027" s="31"/>
      <c r="C1027" s="32" t="s">
        <v>57</v>
      </c>
      <c r="D1027" s="32" t="s">
        <v>1818</v>
      </c>
      <c r="F1027" s="33">
        <v>1</v>
      </c>
      <c r="K1027" s="34"/>
    </row>
    <row r="1028" spans="1:75" ht="13.5" customHeight="1" x14ac:dyDescent="0.25">
      <c r="A1028" s="2" t="s">
        <v>1819</v>
      </c>
      <c r="B1028" s="3" t="s">
        <v>1820</v>
      </c>
      <c r="C1028" s="83" t="s">
        <v>1821</v>
      </c>
      <c r="D1028" s="80"/>
      <c r="E1028" s="3" t="s">
        <v>137</v>
      </c>
      <c r="F1028" s="28">
        <v>2</v>
      </c>
      <c r="G1028" s="28">
        <v>0</v>
      </c>
      <c r="H1028" s="28">
        <f>F1028*AO1028</f>
        <v>0</v>
      </c>
      <c r="I1028" s="28">
        <f>F1028*AP1028</f>
        <v>0</v>
      </c>
      <c r="J1028" s="28">
        <f>F1028*G1028</f>
        <v>0</v>
      </c>
      <c r="K1028" s="29" t="s">
        <v>1474</v>
      </c>
      <c r="Z1028" s="28">
        <f>IF(AQ1028="5",BJ1028,0)</f>
        <v>0</v>
      </c>
      <c r="AB1028" s="28">
        <f>IF(AQ1028="1",BH1028,0)</f>
        <v>0</v>
      </c>
      <c r="AC1028" s="28">
        <f>IF(AQ1028="1",BI1028,0)</f>
        <v>0</v>
      </c>
      <c r="AD1028" s="28">
        <f>IF(AQ1028="7",BH1028,0)</f>
        <v>0</v>
      </c>
      <c r="AE1028" s="28">
        <f>IF(AQ1028="7",BI1028,0)</f>
        <v>0</v>
      </c>
      <c r="AF1028" s="28">
        <f>IF(AQ1028="2",BH1028,0)</f>
        <v>0</v>
      </c>
      <c r="AG1028" s="28">
        <f>IF(AQ1028="2",BI1028,0)</f>
        <v>0</v>
      </c>
      <c r="AH1028" s="28">
        <f>IF(AQ1028="0",BJ1028,0)</f>
        <v>0</v>
      </c>
      <c r="AI1028" s="10" t="s">
        <v>1547</v>
      </c>
      <c r="AJ1028" s="28">
        <f>IF(AN1028=0,J1028,0)</f>
        <v>0</v>
      </c>
      <c r="AK1028" s="28">
        <f>IF(AN1028=12,J1028,0)</f>
        <v>0</v>
      </c>
      <c r="AL1028" s="28">
        <f>IF(AN1028=21,J1028,0)</f>
        <v>0</v>
      </c>
      <c r="AN1028" s="28">
        <v>21</v>
      </c>
      <c r="AO1028" s="28">
        <f>G1028*1</f>
        <v>0</v>
      </c>
      <c r="AP1028" s="28">
        <f>G1028*(1-1)</f>
        <v>0</v>
      </c>
      <c r="AQ1028" s="30" t="s">
        <v>98</v>
      </c>
      <c r="AV1028" s="28">
        <f>AW1028+AX1028</f>
        <v>0</v>
      </c>
      <c r="AW1028" s="28">
        <f>F1028*AO1028</f>
        <v>0</v>
      </c>
      <c r="AX1028" s="28">
        <f>F1028*AP1028</f>
        <v>0</v>
      </c>
      <c r="AY1028" s="30" t="s">
        <v>1750</v>
      </c>
      <c r="AZ1028" s="30" t="s">
        <v>1751</v>
      </c>
      <c r="BA1028" s="10" t="s">
        <v>1553</v>
      </c>
      <c r="BC1028" s="28">
        <f>AW1028+AX1028</f>
        <v>0</v>
      </c>
      <c r="BD1028" s="28">
        <f>G1028/(100-BE1028)*100</f>
        <v>0</v>
      </c>
      <c r="BE1028" s="28">
        <v>0</v>
      </c>
      <c r="BF1028" s="28">
        <f>1028</f>
        <v>1028</v>
      </c>
      <c r="BH1028" s="28">
        <f>F1028*AO1028</f>
        <v>0</v>
      </c>
      <c r="BI1028" s="28">
        <f>F1028*AP1028</f>
        <v>0</v>
      </c>
      <c r="BJ1028" s="28">
        <f>F1028*G1028</f>
        <v>0</v>
      </c>
      <c r="BK1028" s="28"/>
      <c r="BL1028" s="28">
        <v>734</v>
      </c>
      <c r="BW1028" s="28">
        <v>21</v>
      </c>
    </row>
    <row r="1029" spans="1:75" x14ac:dyDescent="0.25">
      <c r="A1029" s="31"/>
      <c r="C1029" s="32" t="s">
        <v>68</v>
      </c>
      <c r="D1029" s="32" t="s">
        <v>52</v>
      </c>
      <c r="F1029" s="33">
        <v>2</v>
      </c>
      <c r="K1029" s="34"/>
    </row>
    <row r="1030" spans="1:75" ht="13.5" customHeight="1" x14ac:dyDescent="0.25">
      <c r="A1030" s="2" t="s">
        <v>1822</v>
      </c>
      <c r="B1030" s="3" t="s">
        <v>1823</v>
      </c>
      <c r="C1030" s="83" t="s">
        <v>1824</v>
      </c>
      <c r="D1030" s="80"/>
      <c r="E1030" s="3" t="s">
        <v>167</v>
      </c>
      <c r="F1030" s="28">
        <v>1</v>
      </c>
      <c r="G1030" s="28">
        <v>0</v>
      </c>
      <c r="H1030" s="28">
        <f>F1030*AO1030</f>
        <v>0</v>
      </c>
      <c r="I1030" s="28">
        <f>F1030*AP1030</f>
        <v>0</v>
      </c>
      <c r="J1030" s="28">
        <f>F1030*G1030</f>
        <v>0</v>
      </c>
      <c r="K1030" s="29" t="s">
        <v>52</v>
      </c>
      <c r="Z1030" s="28">
        <f>IF(AQ1030="5",BJ1030,0)</f>
        <v>0</v>
      </c>
      <c r="AB1030" s="28">
        <f>IF(AQ1030="1",BH1030,0)</f>
        <v>0</v>
      </c>
      <c r="AC1030" s="28">
        <f>IF(AQ1030="1",BI1030,0)</f>
        <v>0</v>
      </c>
      <c r="AD1030" s="28">
        <f>IF(AQ1030="7",BH1030,0)</f>
        <v>0</v>
      </c>
      <c r="AE1030" s="28">
        <f>IF(AQ1030="7",BI1030,0)</f>
        <v>0</v>
      </c>
      <c r="AF1030" s="28">
        <f>IF(AQ1030="2",BH1030,0)</f>
        <v>0</v>
      </c>
      <c r="AG1030" s="28">
        <f>IF(AQ1030="2",BI1030,0)</f>
        <v>0</v>
      </c>
      <c r="AH1030" s="28">
        <f>IF(AQ1030="0",BJ1030,0)</f>
        <v>0</v>
      </c>
      <c r="AI1030" s="10" t="s">
        <v>1547</v>
      </c>
      <c r="AJ1030" s="28">
        <f>IF(AN1030=0,J1030,0)</f>
        <v>0</v>
      </c>
      <c r="AK1030" s="28">
        <f>IF(AN1030=12,J1030,0)</f>
        <v>0</v>
      </c>
      <c r="AL1030" s="28">
        <f>IF(AN1030=21,J1030,0)</f>
        <v>0</v>
      </c>
      <c r="AN1030" s="28">
        <v>21</v>
      </c>
      <c r="AO1030" s="28">
        <f>G1030*0.618556701</f>
        <v>0</v>
      </c>
      <c r="AP1030" s="28">
        <f>G1030*(1-0.618556701)</f>
        <v>0</v>
      </c>
      <c r="AQ1030" s="30" t="s">
        <v>98</v>
      </c>
      <c r="AV1030" s="28">
        <f>AW1030+AX1030</f>
        <v>0</v>
      </c>
      <c r="AW1030" s="28">
        <f>F1030*AO1030</f>
        <v>0</v>
      </c>
      <c r="AX1030" s="28">
        <f>F1030*AP1030</f>
        <v>0</v>
      </c>
      <c r="AY1030" s="30" t="s">
        <v>1750</v>
      </c>
      <c r="AZ1030" s="30" t="s">
        <v>1751</v>
      </c>
      <c r="BA1030" s="10" t="s">
        <v>1553</v>
      </c>
      <c r="BC1030" s="28">
        <f>AW1030+AX1030</f>
        <v>0</v>
      </c>
      <c r="BD1030" s="28">
        <f>G1030/(100-BE1030)*100</f>
        <v>0</v>
      </c>
      <c r="BE1030" s="28">
        <v>0</v>
      </c>
      <c r="BF1030" s="28">
        <f>1030</f>
        <v>1030</v>
      </c>
      <c r="BH1030" s="28">
        <f>F1030*AO1030</f>
        <v>0</v>
      </c>
      <c r="BI1030" s="28">
        <f>F1030*AP1030</f>
        <v>0</v>
      </c>
      <c r="BJ1030" s="28">
        <f>F1030*G1030</f>
        <v>0</v>
      </c>
      <c r="BK1030" s="28"/>
      <c r="BL1030" s="28">
        <v>734</v>
      </c>
      <c r="BW1030" s="28">
        <v>21</v>
      </c>
    </row>
    <row r="1031" spans="1:75" ht="13.5" customHeight="1" x14ac:dyDescent="0.25">
      <c r="A1031" s="2" t="s">
        <v>1825</v>
      </c>
      <c r="B1031" s="3" t="s">
        <v>1706</v>
      </c>
      <c r="C1031" s="83" t="s">
        <v>1707</v>
      </c>
      <c r="D1031" s="80"/>
      <c r="E1031" s="3" t="s">
        <v>71</v>
      </c>
      <c r="F1031" s="28">
        <v>0.02</v>
      </c>
      <c r="G1031" s="28">
        <v>0</v>
      </c>
      <c r="H1031" s="28">
        <f>F1031*AO1031</f>
        <v>0</v>
      </c>
      <c r="I1031" s="28">
        <f>F1031*AP1031</f>
        <v>0</v>
      </c>
      <c r="J1031" s="28">
        <f>F1031*G1031</f>
        <v>0</v>
      </c>
      <c r="K1031" s="29" t="s">
        <v>1491</v>
      </c>
      <c r="Z1031" s="28">
        <f>IF(AQ1031="5",BJ1031,0)</f>
        <v>0</v>
      </c>
      <c r="AB1031" s="28">
        <f>IF(AQ1031="1",BH1031,0)</f>
        <v>0</v>
      </c>
      <c r="AC1031" s="28">
        <f>IF(AQ1031="1",BI1031,0)</f>
        <v>0</v>
      </c>
      <c r="AD1031" s="28">
        <f>IF(AQ1031="7",BH1031,0)</f>
        <v>0</v>
      </c>
      <c r="AE1031" s="28">
        <f>IF(AQ1031="7",BI1031,0)</f>
        <v>0</v>
      </c>
      <c r="AF1031" s="28">
        <f>IF(AQ1031="2",BH1031,0)</f>
        <v>0</v>
      </c>
      <c r="AG1031" s="28">
        <f>IF(AQ1031="2",BI1031,0)</f>
        <v>0</v>
      </c>
      <c r="AH1031" s="28">
        <f>IF(AQ1031="0",BJ1031,0)</f>
        <v>0</v>
      </c>
      <c r="AI1031" s="10" t="s">
        <v>1547</v>
      </c>
      <c r="AJ1031" s="28">
        <f>IF(AN1031=0,J1031,0)</f>
        <v>0</v>
      </c>
      <c r="AK1031" s="28">
        <f>IF(AN1031=12,J1031,0)</f>
        <v>0</v>
      </c>
      <c r="AL1031" s="28">
        <f>IF(AN1031=21,J1031,0)</f>
        <v>0</v>
      </c>
      <c r="AN1031" s="28">
        <v>21</v>
      </c>
      <c r="AO1031" s="28">
        <f>G1031*0</f>
        <v>0</v>
      </c>
      <c r="AP1031" s="28">
        <f>G1031*(1-0)</f>
        <v>0</v>
      </c>
      <c r="AQ1031" s="30" t="s">
        <v>87</v>
      </c>
      <c r="AV1031" s="28">
        <f>AW1031+AX1031</f>
        <v>0</v>
      </c>
      <c r="AW1031" s="28">
        <f>F1031*AO1031</f>
        <v>0</v>
      </c>
      <c r="AX1031" s="28">
        <f>F1031*AP1031</f>
        <v>0</v>
      </c>
      <c r="AY1031" s="30" t="s">
        <v>1750</v>
      </c>
      <c r="AZ1031" s="30" t="s">
        <v>1751</v>
      </c>
      <c r="BA1031" s="10" t="s">
        <v>1553</v>
      </c>
      <c r="BC1031" s="28">
        <f>AW1031+AX1031</f>
        <v>0</v>
      </c>
      <c r="BD1031" s="28">
        <f>G1031/(100-BE1031)*100</f>
        <v>0</v>
      </c>
      <c r="BE1031" s="28">
        <v>0</v>
      </c>
      <c r="BF1031" s="28">
        <f>1031</f>
        <v>1031</v>
      </c>
      <c r="BH1031" s="28">
        <f>F1031*AO1031</f>
        <v>0</v>
      </c>
      <c r="BI1031" s="28">
        <f>F1031*AP1031</f>
        <v>0</v>
      </c>
      <c r="BJ1031" s="28">
        <f>F1031*G1031</f>
        <v>0</v>
      </c>
      <c r="BK1031" s="28"/>
      <c r="BL1031" s="28">
        <v>734</v>
      </c>
      <c r="BW1031" s="28">
        <v>21</v>
      </c>
    </row>
    <row r="1032" spans="1:75" x14ac:dyDescent="0.25">
      <c r="A1032" s="31"/>
      <c r="C1032" s="32" t="s">
        <v>661</v>
      </c>
      <c r="D1032" s="32" t="s">
        <v>52</v>
      </c>
      <c r="F1032" s="33">
        <v>0.02</v>
      </c>
      <c r="K1032" s="34"/>
    </row>
    <row r="1033" spans="1:75" x14ac:dyDescent="0.25">
      <c r="A1033" s="24" t="s">
        <v>52</v>
      </c>
      <c r="B1033" s="25" t="s">
        <v>624</v>
      </c>
      <c r="C1033" s="139" t="s">
        <v>1826</v>
      </c>
      <c r="D1033" s="140"/>
      <c r="E1033" s="26" t="s">
        <v>4</v>
      </c>
      <c r="F1033" s="26" t="s">
        <v>4</v>
      </c>
      <c r="G1033" s="26" t="s">
        <v>4</v>
      </c>
      <c r="H1033" s="1">
        <f>SUM(H1034:H1048)</f>
        <v>0</v>
      </c>
      <c r="I1033" s="1">
        <f>SUM(I1034:I1048)</f>
        <v>0</v>
      </c>
      <c r="J1033" s="1">
        <f>SUM(J1034:J1048)</f>
        <v>0</v>
      </c>
      <c r="K1033" s="27" t="s">
        <v>52</v>
      </c>
      <c r="AI1033" s="10" t="s">
        <v>1547</v>
      </c>
      <c r="AS1033" s="1">
        <f>SUM(AJ1034:AJ1048)</f>
        <v>0</v>
      </c>
      <c r="AT1033" s="1">
        <f>SUM(AK1034:AK1048)</f>
        <v>0</v>
      </c>
      <c r="AU1033" s="1">
        <f>SUM(AL1034:AL1048)</f>
        <v>0</v>
      </c>
    </row>
    <row r="1034" spans="1:75" ht="13.5" customHeight="1" x14ac:dyDescent="0.25">
      <c r="A1034" s="2" t="s">
        <v>1827</v>
      </c>
      <c r="B1034" s="3" t="s">
        <v>1828</v>
      </c>
      <c r="C1034" s="83" t="s">
        <v>1829</v>
      </c>
      <c r="D1034" s="80"/>
      <c r="E1034" s="3" t="s">
        <v>78</v>
      </c>
      <c r="F1034" s="28">
        <v>42.5</v>
      </c>
      <c r="G1034" s="28">
        <v>0</v>
      </c>
      <c r="H1034" s="28">
        <f>F1034*AO1034</f>
        <v>0</v>
      </c>
      <c r="I1034" s="28">
        <f>F1034*AP1034</f>
        <v>0</v>
      </c>
      <c r="J1034" s="28">
        <f>F1034*G1034</f>
        <v>0</v>
      </c>
      <c r="K1034" s="29" t="s">
        <v>1491</v>
      </c>
      <c r="Z1034" s="28">
        <f>IF(AQ1034="5",BJ1034,0)</f>
        <v>0</v>
      </c>
      <c r="AB1034" s="28">
        <f>IF(AQ1034="1",BH1034,0)</f>
        <v>0</v>
      </c>
      <c r="AC1034" s="28">
        <f>IF(AQ1034="1",BI1034,0)</f>
        <v>0</v>
      </c>
      <c r="AD1034" s="28">
        <f>IF(AQ1034="7",BH1034,0)</f>
        <v>0</v>
      </c>
      <c r="AE1034" s="28">
        <f>IF(AQ1034="7",BI1034,0)</f>
        <v>0</v>
      </c>
      <c r="AF1034" s="28">
        <f>IF(AQ1034="2",BH1034,0)</f>
        <v>0</v>
      </c>
      <c r="AG1034" s="28">
        <f>IF(AQ1034="2",BI1034,0)</f>
        <v>0</v>
      </c>
      <c r="AH1034" s="28">
        <f>IF(AQ1034="0",BJ1034,0)</f>
        <v>0</v>
      </c>
      <c r="AI1034" s="10" t="s">
        <v>1547</v>
      </c>
      <c r="AJ1034" s="28">
        <f>IF(AN1034=0,J1034,0)</f>
        <v>0</v>
      </c>
      <c r="AK1034" s="28">
        <f>IF(AN1034=12,J1034,0)</f>
        <v>0</v>
      </c>
      <c r="AL1034" s="28">
        <f>IF(AN1034=21,J1034,0)</f>
        <v>0</v>
      </c>
      <c r="AN1034" s="28">
        <v>21</v>
      </c>
      <c r="AO1034" s="28">
        <f>G1034*0</f>
        <v>0</v>
      </c>
      <c r="AP1034" s="28">
        <f>G1034*(1-0)</f>
        <v>0</v>
      </c>
      <c r="AQ1034" s="30" t="s">
        <v>57</v>
      </c>
      <c r="AV1034" s="28">
        <f>AW1034+AX1034</f>
        <v>0</v>
      </c>
      <c r="AW1034" s="28">
        <f>F1034*AO1034</f>
        <v>0</v>
      </c>
      <c r="AX1034" s="28">
        <f>F1034*AP1034</f>
        <v>0</v>
      </c>
      <c r="AY1034" s="30" t="s">
        <v>1830</v>
      </c>
      <c r="AZ1034" s="30" t="s">
        <v>1831</v>
      </c>
      <c r="BA1034" s="10" t="s">
        <v>1553</v>
      </c>
      <c r="BC1034" s="28">
        <f>AW1034+AX1034</f>
        <v>0</v>
      </c>
      <c r="BD1034" s="28">
        <f>G1034/(100-BE1034)*100</f>
        <v>0</v>
      </c>
      <c r="BE1034" s="28">
        <v>0</v>
      </c>
      <c r="BF1034" s="28">
        <f>1034</f>
        <v>1034</v>
      </c>
      <c r="BH1034" s="28">
        <f>F1034*AO1034</f>
        <v>0</v>
      </c>
      <c r="BI1034" s="28">
        <f>F1034*AP1034</f>
        <v>0</v>
      </c>
      <c r="BJ1034" s="28">
        <f>F1034*G1034</f>
        <v>0</v>
      </c>
      <c r="BK1034" s="28"/>
      <c r="BL1034" s="28">
        <v>87</v>
      </c>
      <c r="BW1034" s="28">
        <v>21</v>
      </c>
    </row>
    <row r="1035" spans="1:75" x14ac:dyDescent="0.25">
      <c r="A1035" s="31"/>
      <c r="C1035" s="32" t="s">
        <v>1832</v>
      </c>
      <c r="D1035" s="32" t="s">
        <v>52</v>
      </c>
      <c r="F1035" s="33">
        <v>42.5</v>
      </c>
      <c r="K1035" s="34"/>
    </row>
    <row r="1036" spans="1:75" ht="13.5" customHeight="1" x14ac:dyDescent="0.25">
      <c r="A1036" s="2" t="s">
        <v>1833</v>
      </c>
      <c r="B1036" s="3" t="s">
        <v>1834</v>
      </c>
      <c r="C1036" s="83" t="s">
        <v>1835</v>
      </c>
      <c r="D1036" s="80"/>
      <c r="E1036" s="3" t="s">
        <v>78</v>
      </c>
      <c r="F1036" s="28">
        <v>22</v>
      </c>
      <c r="G1036" s="28">
        <v>0</v>
      </c>
      <c r="H1036" s="28">
        <f>F1036*AO1036</f>
        <v>0</v>
      </c>
      <c r="I1036" s="28">
        <f>F1036*AP1036</f>
        <v>0</v>
      </c>
      <c r="J1036" s="28">
        <f>F1036*G1036</f>
        <v>0</v>
      </c>
      <c r="K1036" s="29" t="s">
        <v>1491</v>
      </c>
      <c r="Z1036" s="28">
        <f>IF(AQ1036="5",BJ1036,0)</f>
        <v>0</v>
      </c>
      <c r="AB1036" s="28">
        <f>IF(AQ1036="1",BH1036,0)</f>
        <v>0</v>
      </c>
      <c r="AC1036" s="28">
        <f>IF(AQ1036="1",BI1036,0)</f>
        <v>0</v>
      </c>
      <c r="AD1036" s="28">
        <f>IF(AQ1036="7",BH1036,0)</f>
        <v>0</v>
      </c>
      <c r="AE1036" s="28">
        <f>IF(AQ1036="7",BI1036,0)</f>
        <v>0</v>
      </c>
      <c r="AF1036" s="28">
        <f>IF(AQ1036="2",BH1036,0)</f>
        <v>0</v>
      </c>
      <c r="AG1036" s="28">
        <f>IF(AQ1036="2",BI1036,0)</f>
        <v>0</v>
      </c>
      <c r="AH1036" s="28">
        <f>IF(AQ1036="0",BJ1036,0)</f>
        <v>0</v>
      </c>
      <c r="AI1036" s="10" t="s">
        <v>1547</v>
      </c>
      <c r="AJ1036" s="28">
        <f>IF(AN1036=0,J1036,0)</f>
        <v>0</v>
      </c>
      <c r="AK1036" s="28">
        <f>IF(AN1036=12,J1036,0)</f>
        <v>0</v>
      </c>
      <c r="AL1036" s="28">
        <f>IF(AN1036=21,J1036,0)</f>
        <v>0</v>
      </c>
      <c r="AN1036" s="28">
        <v>21</v>
      </c>
      <c r="AO1036" s="28">
        <f>G1036*0</f>
        <v>0</v>
      </c>
      <c r="AP1036" s="28">
        <f>G1036*(1-0)</f>
        <v>0</v>
      </c>
      <c r="AQ1036" s="30" t="s">
        <v>57</v>
      </c>
      <c r="AV1036" s="28">
        <f>AW1036+AX1036</f>
        <v>0</v>
      </c>
      <c r="AW1036" s="28">
        <f>F1036*AO1036</f>
        <v>0</v>
      </c>
      <c r="AX1036" s="28">
        <f>F1036*AP1036</f>
        <v>0</v>
      </c>
      <c r="AY1036" s="30" t="s">
        <v>1830</v>
      </c>
      <c r="AZ1036" s="30" t="s">
        <v>1831</v>
      </c>
      <c r="BA1036" s="10" t="s">
        <v>1553</v>
      </c>
      <c r="BC1036" s="28">
        <f>AW1036+AX1036</f>
        <v>0</v>
      </c>
      <c r="BD1036" s="28">
        <f>G1036/(100-BE1036)*100</f>
        <v>0</v>
      </c>
      <c r="BE1036" s="28">
        <v>0</v>
      </c>
      <c r="BF1036" s="28">
        <f>1036</f>
        <v>1036</v>
      </c>
      <c r="BH1036" s="28">
        <f>F1036*AO1036</f>
        <v>0</v>
      </c>
      <c r="BI1036" s="28">
        <f>F1036*AP1036</f>
        <v>0</v>
      </c>
      <c r="BJ1036" s="28">
        <f>F1036*G1036</f>
        <v>0</v>
      </c>
      <c r="BK1036" s="28"/>
      <c r="BL1036" s="28">
        <v>87</v>
      </c>
      <c r="BW1036" s="28">
        <v>21</v>
      </c>
    </row>
    <row r="1037" spans="1:75" x14ac:dyDescent="0.25">
      <c r="A1037" s="31"/>
      <c r="C1037" s="32" t="s">
        <v>179</v>
      </c>
      <c r="D1037" s="32" t="s">
        <v>52</v>
      </c>
      <c r="F1037" s="33">
        <v>22</v>
      </c>
      <c r="K1037" s="34"/>
    </row>
    <row r="1038" spans="1:75" ht="13.5" customHeight="1" x14ac:dyDescent="0.25">
      <c r="A1038" s="2" t="s">
        <v>1836</v>
      </c>
      <c r="B1038" s="3" t="s">
        <v>1837</v>
      </c>
      <c r="C1038" s="83" t="s">
        <v>1838</v>
      </c>
      <c r="D1038" s="80"/>
      <c r="E1038" s="3" t="s">
        <v>78</v>
      </c>
      <c r="F1038" s="28">
        <v>42.5</v>
      </c>
      <c r="G1038" s="28">
        <v>0</v>
      </c>
      <c r="H1038" s="28">
        <f>F1038*AO1038</f>
        <v>0</v>
      </c>
      <c r="I1038" s="28">
        <f>F1038*AP1038</f>
        <v>0</v>
      </c>
      <c r="J1038" s="28">
        <f>F1038*G1038</f>
        <v>0</v>
      </c>
      <c r="K1038" s="29" t="s">
        <v>61</v>
      </c>
      <c r="Z1038" s="28">
        <f>IF(AQ1038="5",BJ1038,0)</f>
        <v>0</v>
      </c>
      <c r="AB1038" s="28">
        <f>IF(AQ1038="1",BH1038,0)</f>
        <v>0</v>
      </c>
      <c r="AC1038" s="28">
        <f>IF(AQ1038="1",BI1038,0)</f>
        <v>0</v>
      </c>
      <c r="AD1038" s="28">
        <f>IF(AQ1038="7",BH1038,0)</f>
        <v>0</v>
      </c>
      <c r="AE1038" s="28">
        <f>IF(AQ1038="7",BI1038,0)</f>
        <v>0</v>
      </c>
      <c r="AF1038" s="28">
        <f>IF(AQ1038="2",BH1038,0)</f>
        <v>0</v>
      </c>
      <c r="AG1038" s="28">
        <f>IF(AQ1038="2",BI1038,0)</f>
        <v>0</v>
      </c>
      <c r="AH1038" s="28">
        <f>IF(AQ1038="0",BJ1038,0)</f>
        <v>0</v>
      </c>
      <c r="AI1038" s="10" t="s">
        <v>1547</v>
      </c>
      <c r="AJ1038" s="28">
        <f>IF(AN1038=0,J1038,0)</f>
        <v>0</v>
      </c>
      <c r="AK1038" s="28">
        <f>IF(AN1038=12,J1038,0)</f>
        <v>0</v>
      </c>
      <c r="AL1038" s="28">
        <f>IF(AN1038=21,J1038,0)</f>
        <v>0</v>
      </c>
      <c r="AN1038" s="28">
        <v>21</v>
      </c>
      <c r="AO1038" s="28">
        <f>G1038*0.030871292</f>
        <v>0</v>
      </c>
      <c r="AP1038" s="28">
        <f>G1038*(1-0.030871292)</f>
        <v>0</v>
      </c>
      <c r="AQ1038" s="30" t="s">
        <v>57</v>
      </c>
      <c r="AV1038" s="28">
        <f>AW1038+AX1038</f>
        <v>0</v>
      </c>
      <c r="AW1038" s="28">
        <f>F1038*AO1038</f>
        <v>0</v>
      </c>
      <c r="AX1038" s="28">
        <f>F1038*AP1038</f>
        <v>0</v>
      </c>
      <c r="AY1038" s="30" t="s">
        <v>1830</v>
      </c>
      <c r="AZ1038" s="30" t="s">
        <v>1831</v>
      </c>
      <c r="BA1038" s="10" t="s">
        <v>1553</v>
      </c>
      <c r="BC1038" s="28">
        <f>AW1038+AX1038</f>
        <v>0</v>
      </c>
      <c r="BD1038" s="28">
        <f>G1038/(100-BE1038)*100</f>
        <v>0</v>
      </c>
      <c r="BE1038" s="28">
        <v>0</v>
      </c>
      <c r="BF1038" s="28">
        <f>1038</f>
        <v>1038</v>
      </c>
      <c r="BH1038" s="28">
        <f>F1038*AO1038</f>
        <v>0</v>
      </c>
      <c r="BI1038" s="28">
        <f>F1038*AP1038</f>
        <v>0</v>
      </c>
      <c r="BJ1038" s="28">
        <f>F1038*G1038</f>
        <v>0</v>
      </c>
      <c r="BK1038" s="28"/>
      <c r="BL1038" s="28">
        <v>87</v>
      </c>
      <c r="BW1038" s="28">
        <v>21</v>
      </c>
    </row>
    <row r="1039" spans="1:75" x14ac:dyDescent="0.25">
      <c r="A1039" s="31"/>
      <c r="C1039" s="32" t="s">
        <v>1832</v>
      </c>
      <c r="D1039" s="32" t="s">
        <v>52</v>
      </c>
      <c r="F1039" s="33">
        <v>42.5</v>
      </c>
      <c r="K1039" s="34"/>
    </row>
    <row r="1040" spans="1:75" ht="13.5" customHeight="1" x14ac:dyDescent="0.25">
      <c r="A1040" s="2" t="s">
        <v>1839</v>
      </c>
      <c r="B1040" s="3" t="s">
        <v>1840</v>
      </c>
      <c r="C1040" s="83" t="s">
        <v>1841</v>
      </c>
      <c r="D1040" s="80"/>
      <c r="E1040" s="3" t="s">
        <v>78</v>
      </c>
      <c r="F1040" s="28">
        <v>0.5</v>
      </c>
      <c r="G1040" s="28">
        <v>0</v>
      </c>
      <c r="H1040" s="28">
        <f>F1040*AO1040</f>
        <v>0</v>
      </c>
      <c r="I1040" s="28">
        <f>F1040*AP1040</f>
        <v>0</v>
      </c>
      <c r="J1040" s="28">
        <f>F1040*G1040</f>
        <v>0</v>
      </c>
      <c r="K1040" s="29" t="s">
        <v>61</v>
      </c>
      <c r="Z1040" s="28">
        <f>IF(AQ1040="5",BJ1040,0)</f>
        <v>0</v>
      </c>
      <c r="AB1040" s="28">
        <f>IF(AQ1040="1",BH1040,0)</f>
        <v>0</v>
      </c>
      <c r="AC1040" s="28">
        <f>IF(AQ1040="1",BI1040,0)</f>
        <v>0</v>
      </c>
      <c r="AD1040" s="28">
        <f>IF(AQ1040="7",BH1040,0)</f>
        <v>0</v>
      </c>
      <c r="AE1040" s="28">
        <f>IF(AQ1040="7",BI1040,0)</f>
        <v>0</v>
      </c>
      <c r="AF1040" s="28">
        <f>IF(AQ1040="2",BH1040,0)</f>
        <v>0</v>
      </c>
      <c r="AG1040" s="28">
        <f>IF(AQ1040="2",BI1040,0)</f>
        <v>0</v>
      </c>
      <c r="AH1040" s="28">
        <f>IF(AQ1040="0",BJ1040,0)</f>
        <v>0</v>
      </c>
      <c r="AI1040" s="10" t="s">
        <v>1547</v>
      </c>
      <c r="AJ1040" s="28">
        <f>IF(AN1040=0,J1040,0)</f>
        <v>0</v>
      </c>
      <c r="AK1040" s="28">
        <f>IF(AN1040=12,J1040,0)</f>
        <v>0</v>
      </c>
      <c r="AL1040" s="28">
        <f>IF(AN1040=21,J1040,0)</f>
        <v>0</v>
      </c>
      <c r="AN1040" s="28">
        <v>21</v>
      </c>
      <c r="AO1040" s="28">
        <f>G1040*0.334701987</f>
        <v>0</v>
      </c>
      <c r="AP1040" s="28">
        <f>G1040*(1-0.334701987)</f>
        <v>0</v>
      </c>
      <c r="AQ1040" s="30" t="s">
        <v>57</v>
      </c>
      <c r="AV1040" s="28">
        <f>AW1040+AX1040</f>
        <v>0</v>
      </c>
      <c r="AW1040" s="28">
        <f>F1040*AO1040</f>
        <v>0</v>
      </c>
      <c r="AX1040" s="28">
        <f>F1040*AP1040</f>
        <v>0</v>
      </c>
      <c r="AY1040" s="30" t="s">
        <v>1830</v>
      </c>
      <c r="AZ1040" s="30" t="s">
        <v>1831</v>
      </c>
      <c r="BA1040" s="10" t="s">
        <v>1553</v>
      </c>
      <c r="BC1040" s="28">
        <f>AW1040+AX1040</f>
        <v>0</v>
      </c>
      <c r="BD1040" s="28">
        <f>G1040/(100-BE1040)*100</f>
        <v>0</v>
      </c>
      <c r="BE1040" s="28">
        <v>0</v>
      </c>
      <c r="BF1040" s="28">
        <f>1040</f>
        <v>1040</v>
      </c>
      <c r="BH1040" s="28">
        <f>F1040*AO1040</f>
        <v>0</v>
      </c>
      <c r="BI1040" s="28">
        <f>F1040*AP1040</f>
        <v>0</v>
      </c>
      <c r="BJ1040" s="28">
        <f>F1040*G1040</f>
        <v>0</v>
      </c>
      <c r="BK1040" s="28"/>
      <c r="BL1040" s="28">
        <v>87</v>
      </c>
      <c r="BW1040" s="28">
        <v>21</v>
      </c>
    </row>
    <row r="1041" spans="1:75" x14ac:dyDescent="0.25">
      <c r="A1041" s="31"/>
      <c r="C1041" s="32" t="s">
        <v>1397</v>
      </c>
      <c r="D1041" s="32" t="s">
        <v>52</v>
      </c>
      <c r="F1041" s="33">
        <v>0.5</v>
      </c>
      <c r="K1041" s="34"/>
    </row>
    <row r="1042" spans="1:75" ht="13.5" customHeight="1" x14ac:dyDescent="0.25">
      <c r="A1042" s="2" t="s">
        <v>1842</v>
      </c>
      <c r="B1042" s="3" t="s">
        <v>1652</v>
      </c>
      <c r="C1042" s="83" t="s">
        <v>1653</v>
      </c>
      <c r="D1042" s="80"/>
      <c r="E1042" s="3" t="s">
        <v>78</v>
      </c>
      <c r="F1042" s="28">
        <v>22</v>
      </c>
      <c r="G1042" s="28">
        <v>0</v>
      </c>
      <c r="H1042" s="28">
        <f>F1042*AO1042</f>
        <v>0</v>
      </c>
      <c r="I1042" s="28">
        <f>F1042*AP1042</f>
        <v>0</v>
      </c>
      <c r="J1042" s="28">
        <f>F1042*G1042</f>
        <v>0</v>
      </c>
      <c r="K1042" s="29" t="s">
        <v>1491</v>
      </c>
      <c r="Z1042" s="28">
        <f>IF(AQ1042="5",BJ1042,0)</f>
        <v>0</v>
      </c>
      <c r="AB1042" s="28">
        <f>IF(AQ1042="1",BH1042,0)</f>
        <v>0</v>
      </c>
      <c r="AC1042" s="28">
        <f>IF(AQ1042="1",BI1042,0)</f>
        <v>0</v>
      </c>
      <c r="AD1042" s="28">
        <f>IF(AQ1042="7",BH1042,0)</f>
        <v>0</v>
      </c>
      <c r="AE1042" s="28">
        <f>IF(AQ1042="7",BI1042,0)</f>
        <v>0</v>
      </c>
      <c r="AF1042" s="28">
        <f>IF(AQ1042="2",BH1042,0)</f>
        <v>0</v>
      </c>
      <c r="AG1042" s="28">
        <f>IF(AQ1042="2",BI1042,0)</f>
        <v>0</v>
      </c>
      <c r="AH1042" s="28">
        <f>IF(AQ1042="0",BJ1042,0)</f>
        <v>0</v>
      </c>
      <c r="AI1042" s="10" t="s">
        <v>1547</v>
      </c>
      <c r="AJ1042" s="28">
        <f>IF(AN1042=0,J1042,0)</f>
        <v>0</v>
      </c>
      <c r="AK1042" s="28">
        <f>IF(AN1042=12,J1042,0)</f>
        <v>0</v>
      </c>
      <c r="AL1042" s="28">
        <f>IF(AN1042=21,J1042,0)</f>
        <v>0</v>
      </c>
      <c r="AN1042" s="28">
        <v>21</v>
      </c>
      <c r="AO1042" s="28">
        <f>G1042*0.248322148</f>
        <v>0</v>
      </c>
      <c r="AP1042" s="28">
        <f>G1042*(1-0.248322148)</f>
        <v>0</v>
      </c>
      <c r="AQ1042" s="30" t="s">
        <v>57</v>
      </c>
      <c r="AV1042" s="28">
        <f>AW1042+AX1042</f>
        <v>0</v>
      </c>
      <c r="AW1042" s="28">
        <f>F1042*AO1042</f>
        <v>0</v>
      </c>
      <c r="AX1042" s="28">
        <f>F1042*AP1042</f>
        <v>0</v>
      </c>
      <c r="AY1042" s="30" t="s">
        <v>1830</v>
      </c>
      <c r="AZ1042" s="30" t="s">
        <v>1831</v>
      </c>
      <c r="BA1042" s="10" t="s">
        <v>1553</v>
      </c>
      <c r="BC1042" s="28">
        <f>AW1042+AX1042</f>
        <v>0</v>
      </c>
      <c r="BD1042" s="28">
        <f>G1042/(100-BE1042)*100</f>
        <v>0</v>
      </c>
      <c r="BE1042" s="28">
        <v>0</v>
      </c>
      <c r="BF1042" s="28">
        <f>1042</f>
        <v>1042</v>
      </c>
      <c r="BH1042" s="28">
        <f>F1042*AO1042</f>
        <v>0</v>
      </c>
      <c r="BI1042" s="28">
        <f>F1042*AP1042</f>
        <v>0</v>
      </c>
      <c r="BJ1042" s="28">
        <f>F1042*G1042</f>
        <v>0</v>
      </c>
      <c r="BK1042" s="28"/>
      <c r="BL1042" s="28">
        <v>87</v>
      </c>
      <c r="BW1042" s="28">
        <v>21</v>
      </c>
    </row>
    <row r="1043" spans="1:75" x14ac:dyDescent="0.25">
      <c r="A1043" s="31"/>
      <c r="C1043" s="32" t="s">
        <v>179</v>
      </c>
      <c r="D1043" s="32" t="s">
        <v>1843</v>
      </c>
      <c r="F1043" s="33">
        <v>22</v>
      </c>
      <c r="K1043" s="34"/>
    </row>
    <row r="1044" spans="1:75" ht="13.5" customHeight="1" x14ac:dyDescent="0.25">
      <c r="A1044" s="2" t="s">
        <v>1844</v>
      </c>
      <c r="B1044" s="3" t="s">
        <v>1845</v>
      </c>
      <c r="C1044" s="83" t="s">
        <v>1846</v>
      </c>
      <c r="D1044" s="80"/>
      <c r="E1044" s="3" t="s">
        <v>78</v>
      </c>
      <c r="F1044" s="28">
        <v>46.75</v>
      </c>
      <c r="G1044" s="28">
        <v>0</v>
      </c>
      <c r="H1044" s="28">
        <f>F1044*AO1044</f>
        <v>0</v>
      </c>
      <c r="I1044" s="28">
        <f>F1044*AP1044</f>
        <v>0</v>
      </c>
      <c r="J1044" s="28">
        <f>F1044*G1044</f>
        <v>0</v>
      </c>
      <c r="K1044" s="29" t="s">
        <v>61</v>
      </c>
      <c r="Z1044" s="28">
        <f>IF(AQ1044="5",BJ1044,0)</f>
        <v>0</v>
      </c>
      <c r="AB1044" s="28">
        <f>IF(AQ1044="1",BH1044,0)</f>
        <v>0</v>
      </c>
      <c r="AC1044" s="28">
        <f>IF(AQ1044="1",BI1044,0)</f>
        <v>0</v>
      </c>
      <c r="AD1044" s="28">
        <f>IF(AQ1044="7",BH1044,0)</f>
        <v>0</v>
      </c>
      <c r="AE1044" s="28">
        <f>IF(AQ1044="7",BI1044,0)</f>
        <v>0</v>
      </c>
      <c r="AF1044" s="28">
        <f>IF(AQ1044="2",BH1044,0)</f>
        <v>0</v>
      </c>
      <c r="AG1044" s="28">
        <f>IF(AQ1044="2",BI1044,0)</f>
        <v>0</v>
      </c>
      <c r="AH1044" s="28">
        <f>IF(AQ1044="0",BJ1044,0)</f>
        <v>0</v>
      </c>
      <c r="AI1044" s="10" t="s">
        <v>1547</v>
      </c>
      <c r="AJ1044" s="28">
        <f>IF(AN1044=0,J1044,0)</f>
        <v>0</v>
      </c>
      <c r="AK1044" s="28">
        <f>IF(AN1044=12,J1044,0)</f>
        <v>0</v>
      </c>
      <c r="AL1044" s="28">
        <f>IF(AN1044=21,J1044,0)</f>
        <v>0</v>
      </c>
      <c r="AN1044" s="28">
        <v>21</v>
      </c>
      <c r="AO1044" s="28">
        <f>G1044*0.04004386</f>
        <v>0</v>
      </c>
      <c r="AP1044" s="28">
        <f>G1044*(1-0.04004386)</f>
        <v>0</v>
      </c>
      <c r="AQ1044" s="30" t="s">
        <v>57</v>
      </c>
      <c r="AV1044" s="28">
        <f>AW1044+AX1044</f>
        <v>0</v>
      </c>
      <c r="AW1044" s="28">
        <f>F1044*AO1044</f>
        <v>0</v>
      </c>
      <c r="AX1044" s="28">
        <f>F1044*AP1044</f>
        <v>0</v>
      </c>
      <c r="AY1044" s="30" t="s">
        <v>1830</v>
      </c>
      <c r="AZ1044" s="30" t="s">
        <v>1831</v>
      </c>
      <c r="BA1044" s="10" t="s">
        <v>1553</v>
      </c>
      <c r="BC1044" s="28">
        <f>AW1044+AX1044</f>
        <v>0</v>
      </c>
      <c r="BD1044" s="28">
        <f>G1044/(100-BE1044)*100</f>
        <v>0</v>
      </c>
      <c r="BE1044" s="28">
        <v>0</v>
      </c>
      <c r="BF1044" s="28">
        <f>1044</f>
        <v>1044</v>
      </c>
      <c r="BH1044" s="28">
        <f>F1044*AO1044</f>
        <v>0</v>
      </c>
      <c r="BI1044" s="28">
        <f>F1044*AP1044</f>
        <v>0</v>
      </c>
      <c r="BJ1044" s="28">
        <f>F1044*G1044</f>
        <v>0</v>
      </c>
      <c r="BK1044" s="28"/>
      <c r="BL1044" s="28">
        <v>87</v>
      </c>
      <c r="BW1044" s="28">
        <v>21</v>
      </c>
    </row>
    <row r="1045" spans="1:75" x14ac:dyDescent="0.25">
      <c r="A1045" s="31"/>
      <c r="C1045" s="32" t="s">
        <v>1847</v>
      </c>
      <c r="D1045" s="32" t="s">
        <v>52</v>
      </c>
      <c r="F1045" s="33">
        <v>46.75</v>
      </c>
      <c r="K1045" s="34"/>
    </row>
    <row r="1046" spans="1:75" ht="13.5" customHeight="1" x14ac:dyDescent="0.25">
      <c r="A1046" s="2" t="s">
        <v>1848</v>
      </c>
      <c r="B1046" s="3" t="s">
        <v>1849</v>
      </c>
      <c r="C1046" s="83" t="s">
        <v>1850</v>
      </c>
      <c r="D1046" s="80"/>
      <c r="E1046" s="3" t="s">
        <v>78</v>
      </c>
      <c r="F1046" s="28">
        <v>46.75</v>
      </c>
      <c r="G1046" s="28">
        <v>0</v>
      </c>
      <c r="H1046" s="28">
        <f>F1046*AO1046</f>
        <v>0</v>
      </c>
      <c r="I1046" s="28">
        <f>F1046*AP1046</f>
        <v>0</v>
      </c>
      <c r="J1046" s="28">
        <f>F1046*G1046</f>
        <v>0</v>
      </c>
      <c r="K1046" s="29" t="s">
        <v>61</v>
      </c>
      <c r="Z1046" s="28">
        <f>IF(AQ1046="5",BJ1046,0)</f>
        <v>0</v>
      </c>
      <c r="AB1046" s="28">
        <f>IF(AQ1046="1",BH1046,0)</f>
        <v>0</v>
      </c>
      <c r="AC1046" s="28">
        <f>IF(AQ1046="1",BI1046,0)</f>
        <v>0</v>
      </c>
      <c r="AD1046" s="28">
        <f>IF(AQ1046="7",BH1046,0)</f>
        <v>0</v>
      </c>
      <c r="AE1046" s="28">
        <f>IF(AQ1046="7",BI1046,0)</f>
        <v>0</v>
      </c>
      <c r="AF1046" s="28">
        <f>IF(AQ1046="2",BH1046,0)</f>
        <v>0</v>
      </c>
      <c r="AG1046" s="28">
        <f>IF(AQ1046="2",BI1046,0)</f>
        <v>0</v>
      </c>
      <c r="AH1046" s="28">
        <f>IF(AQ1046="0",BJ1046,0)</f>
        <v>0</v>
      </c>
      <c r="AI1046" s="10" t="s">
        <v>1547</v>
      </c>
      <c r="AJ1046" s="28">
        <f>IF(AN1046=0,J1046,0)</f>
        <v>0</v>
      </c>
      <c r="AK1046" s="28">
        <f>IF(AN1046=12,J1046,0)</f>
        <v>0</v>
      </c>
      <c r="AL1046" s="28">
        <f>IF(AN1046=21,J1046,0)</f>
        <v>0</v>
      </c>
      <c r="AN1046" s="28">
        <v>21</v>
      </c>
      <c r="AO1046" s="28">
        <f>G1046*1</f>
        <v>0</v>
      </c>
      <c r="AP1046" s="28">
        <f>G1046*(1-1)</f>
        <v>0</v>
      </c>
      <c r="AQ1046" s="30" t="s">
        <v>57</v>
      </c>
      <c r="AV1046" s="28">
        <f>AW1046+AX1046</f>
        <v>0</v>
      </c>
      <c r="AW1046" s="28">
        <f>F1046*AO1046</f>
        <v>0</v>
      </c>
      <c r="AX1046" s="28">
        <f>F1046*AP1046</f>
        <v>0</v>
      </c>
      <c r="AY1046" s="30" t="s">
        <v>1830</v>
      </c>
      <c r="AZ1046" s="30" t="s">
        <v>1831</v>
      </c>
      <c r="BA1046" s="10" t="s">
        <v>1553</v>
      </c>
      <c r="BC1046" s="28">
        <f>AW1046+AX1046</f>
        <v>0</v>
      </c>
      <c r="BD1046" s="28">
        <f>G1046/(100-BE1046)*100</f>
        <v>0</v>
      </c>
      <c r="BE1046" s="28">
        <v>0</v>
      </c>
      <c r="BF1046" s="28">
        <f>1046</f>
        <v>1046</v>
      </c>
      <c r="BH1046" s="28">
        <f>F1046*AO1046</f>
        <v>0</v>
      </c>
      <c r="BI1046" s="28">
        <f>F1046*AP1046</f>
        <v>0</v>
      </c>
      <c r="BJ1046" s="28">
        <f>F1046*G1046</f>
        <v>0</v>
      </c>
      <c r="BK1046" s="28"/>
      <c r="BL1046" s="28">
        <v>87</v>
      </c>
      <c r="BW1046" s="28">
        <v>21</v>
      </c>
    </row>
    <row r="1047" spans="1:75" x14ac:dyDescent="0.25">
      <c r="A1047" s="31"/>
      <c r="C1047" s="32" t="s">
        <v>1847</v>
      </c>
      <c r="D1047" s="32" t="s">
        <v>52</v>
      </c>
      <c r="F1047" s="33">
        <v>46.75</v>
      </c>
      <c r="K1047" s="34"/>
    </row>
    <row r="1048" spans="1:75" ht="13.5" customHeight="1" x14ac:dyDescent="0.25">
      <c r="A1048" s="2" t="s">
        <v>1851</v>
      </c>
      <c r="B1048" s="3" t="s">
        <v>1852</v>
      </c>
      <c r="C1048" s="83" t="s">
        <v>1853</v>
      </c>
      <c r="D1048" s="80"/>
      <c r="E1048" s="3" t="s">
        <v>137</v>
      </c>
      <c r="F1048" s="28">
        <v>2</v>
      </c>
      <c r="G1048" s="28">
        <v>0</v>
      </c>
      <c r="H1048" s="28">
        <f>F1048*AO1048</f>
        <v>0</v>
      </c>
      <c r="I1048" s="28">
        <f>F1048*AP1048</f>
        <v>0</v>
      </c>
      <c r="J1048" s="28">
        <f>F1048*G1048</f>
        <v>0</v>
      </c>
      <c r="K1048" s="29" t="s">
        <v>61</v>
      </c>
      <c r="Z1048" s="28">
        <f>IF(AQ1048="5",BJ1048,0)</f>
        <v>0</v>
      </c>
      <c r="AB1048" s="28">
        <f>IF(AQ1048="1",BH1048,0)</f>
        <v>0</v>
      </c>
      <c r="AC1048" s="28">
        <f>IF(AQ1048="1",BI1048,0)</f>
        <v>0</v>
      </c>
      <c r="AD1048" s="28">
        <f>IF(AQ1048="7",BH1048,0)</f>
        <v>0</v>
      </c>
      <c r="AE1048" s="28">
        <f>IF(AQ1048="7",BI1048,0)</f>
        <v>0</v>
      </c>
      <c r="AF1048" s="28">
        <f>IF(AQ1048="2",BH1048,0)</f>
        <v>0</v>
      </c>
      <c r="AG1048" s="28">
        <f>IF(AQ1048="2",BI1048,0)</f>
        <v>0</v>
      </c>
      <c r="AH1048" s="28">
        <f>IF(AQ1048="0",BJ1048,0)</f>
        <v>0</v>
      </c>
      <c r="AI1048" s="10" t="s">
        <v>1547</v>
      </c>
      <c r="AJ1048" s="28">
        <f>IF(AN1048=0,J1048,0)</f>
        <v>0</v>
      </c>
      <c r="AK1048" s="28">
        <f>IF(AN1048=12,J1048,0)</f>
        <v>0</v>
      </c>
      <c r="AL1048" s="28">
        <f>IF(AN1048=21,J1048,0)</f>
        <v>0</v>
      </c>
      <c r="AN1048" s="28">
        <v>21</v>
      </c>
      <c r="AO1048" s="28">
        <f>G1048*1</f>
        <v>0</v>
      </c>
      <c r="AP1048" s="28">
        <f>G1048*(1-1)</f>
        <v>0</v>
      </c>
      <c r="AQ1048" s="30" t="s">
        <v>57</v>
      </c>
      <c r="AV1048" s="28">
        <f>AW1048+AX1048</f>
        <v>0</v>
      </c>
      <c r="AW1048" s="28">
        <f>F1048*AO1048</f>
        <v>0</v>
      </c>
      <c r="AX1048" s="28">
        <f>F1048*AP1048</f>
        <v>0</v>
      </c>
      <c r="AY1048" s="30" t="s">
        <v>1830</v>
      </c>
      <c r="AZ1048" s="30" t="s">
        <v>1831</v>
      </c>
      <c r="BA1048" s="10" t="s">
        <v>1553</v>
      </c>
      <c r="BC1048" s="28">
        <f>AW1048+AX1048</f>
        <v>0</v>
      </c>
      <c r="BD1048" s="28">
        <f>G1048/(100-BE1048)*100</f>
        <v>0</v>
      </c>
      <c r="BE1048" s="28">
        <v>0</v>
      </c>
      <c r="BF1048" s="28">
        <f>1048</f>
        <v>1048</v>
      </c>
      <c r="BH1048" s="28">
        <f>F1048*AO1048</f>
        <v>0</v>
      </c>
      <c r="BI1048" s="28">
        <f>F1048*AP1048</f>
        <v>0</v>
      </c>
      <c r="BJ1048" s="28">
        <f>F1048*G1048</f>
        <v>0</v>
      </c>
      <c r="BK1048" s="28"/>
      <c r="BL1048" s="28">
        <v>87</v>
      </c>
      <c r="BW1048" s="28">
        <v>21</v>
      </c>
    </row>
    <row r="1049" spans="1:75" x14ac:dyDescent="0.25">
      <c r="A1049" s="31"/>
      <c r="C1049" s="32" t="s">
        <v>68</v>
      </c>
      <c r="D1049" s="32" t="s">
        <v>52</v>
      </c>
      <c r="F1049" s="33">
        <v>2</v>
      </c>
      <c r="K1049" s="34"/>
    </row>
    <row r="1050" spans="1:75" x14ac:dyDescent="0.25">
      <c r="A1050" s="24" t="s">
        <v>52</v>
      </c>
      <c r="B1050" s="25" t="s">
        <v>52</v>
      </c>
      <c r="C1050" s="139" t="s">
        <v>1854</v>
      </c>
      <c r="D1050" s="140"/>
      <c r="E1050" s="26" t="s">
        <v>4</v>
      </c>
      <c r="F1050" s="26" t="s">
        <v>4</v>
      </c>
      <c r="G1050" s="26" t="s">
        <v>4</v>
      </c>
      <c r="H1050" s="1">
        <f>H1051</f>
        <v>0</v>
      </c>
      <c r="I1050" s="1">
        <f>I1051</f>
        <v>0</v>
      </c>
      <c r="J1050" s="1">
        <f>J1051</f>
        <v>0</v>
      </c>
      <c r="K1050" s="27" t="s">
        <v>52</v>
      </c>
    </row>
    <row r="1051" spans="1:75" x14ac:dyDescent="0.25">
      <c r="A1051" s="24" t="s">
        <v>52</v>
      </c>
      <c r="B1051" s="25" t="s">
        <v>68</v>
      </c>
      <c r="C1051" s="139" t="s">
        <v>1855</v>
      </c>
      <c r="D1051" s="140"/>
      <c r="E1051" s="26" t="s">
        <v>4</v>
      </c>
      <c r="F1051" s="26" t="s">
        <v>4</v>
      </c>
      <c r="G1051" s="26" t="s">
        <v>4</v>
      </c>
      <c r="H1051" s="1">
        <f>SUM(H1052:H1055)</f>
        <v>0</v>
      </c>
      <c r="I1051" s="1">
        <f>SUM(I1052:I1055)</f>
        <v>0</v>
      </c>
      <c r="J1051" s="1">
        <f>SUM(J1052:J1055)</f>
        <v>0</v>
      </c>
      <c r="K1051" s="27" t="s">
        <v>52</v>
      </c>
      <c r="AI1051" s="10" t="s">
        <v>1856</v>
      </c>
      <c r="AS1051" s="1">
        <f>SUM(AJ1052:AJ1055)</f>
        <v>0</v>
      </c>
      <c r="AT1051" s="1">
        <f>SUM(AK1052:AK1055)</f>
        <v>0</v>
      </c>
      <c r="AU1051" s="1">
        <f>SUM(AL1052:AL1055)</f>
        <v>0</v>
      </c>
    </row>
    <row r="1052" spans="1:75" ht="27" customHeight="1" x14ac:dyDescent="0.25">
      <c r="A1052" s="2" t="s">
        <v>1857</v>
      </c>
      <c r="B1052" s="3" t="s">
        <v>1858</v>
      </c>
      <c r="C1052" s="83" t="s">
        <v>1859</v>
      </c>
      <c r="D1052" s="80"/>
      <c r="E1052" s="3" t="s">
        <v>172</v>
      </c>
      <c r="F1052" s="28">
        <v>2</v>
      </c>
      <c r="G1052" s="28">
        <v>0</v>
      </c>
      <c r="H1052" s="28">
        <f>F1052*AO1052</f>
        <v>0</v>
      </c>
      <c r="I1052" s="28">
        <f>F1052*AP1052</f>
        <v>0</v>
      </c>
      <c r="J1052" s="28">
        <f>F1052*G1052</f>
        <v>0</v>
      </c>
      <c r="K1052" s="29" t="s">
        <v>61</v>
      </c>
      <c r="Z1052" s="28">
        <f>IF(AQ1052="5",BJ1052,0)</f>
        <v>0</v>
      </c>
      <c r="AB1052" s="28">
        <f>IF(AQ1052="1",BH1052,0)</f>
        <v>0</v>
      </c>
      <c r="AC1052" s="28">
        <f>IF(AQ1052="1",BI1052,0)</f>
        <v>0</v>
      </c>
      <c r="AD1052" s="28">
        <f>IF(AQ1052="7",BH1052,0)</f>
        <v>0</v>
      </c>
      <c r="AE1052" s="28">
        <f>IF(AQ1052="7",BI1052,0)</f>
        <v>0</v>
      </c>
      <c r="AF1052" s="28">
        <f>IF(AQ1052="2",BH1052,0)</f>
        <v>0</v>
      </c>
      <c r="AG1052" s="28">
        <f>IF(AQ1052="2",BI1052,0)</f>
        <v>0</v>
      </c>
      <c r="AH1052" s="28">
        <f>IF(AQ1052="0",BJ1052,0)</f>
        <v>0</v>
      </c>
      <c r="AI1052" s="10" t="s">
        <v>1856</v>
      </c>
      <c r="AJ1052" s="28">
        <f>IF(AN1052=0,J1052,0)</f>
        <v>0</v>
      </c>
      <c r="AK1052" s="28">
        <f>IF(AN1052=12,J1052,0)</f>
        <v>0</v>
      </c>
      <c r="AL1052" s="28">
        <f>IF(AN1052=21,J1052,0)</f>
        <v>0</v>
      </c>
      <c r="AN1052" s="28">
        <v>21</v>
      </c>
      <c r="AO1052" s="28">
        <f>G1052*1</f>
        <v>0</v>
      </c>
      <c r="AP1052" s="28">
        <f>G1052*(1-1)</f>
        <v>0</v>
      </c>
      <c r="AQ1052" s="30" t="s">
        <v>57</v>
      </c>
      <c r="AV1052" s="28">
        <f>AW1052+AX1052</f>
        <v>0</v>
      </c>
      <c r="AW1052" s="28">
        <f>F1052*AO1052</f>
        <v>0</v>
      </c>
      <c r="AX1052" s="28">
        <f>F1052*AP1052</f>
        <v>0</v>
      </c>
      <c r="AY1052" s="30" t="s">
        <v>1860</v>
      </c>
      <c r="AZ1052" s="30" t="s">
        <v>1861</v>
      </c>
      <c r="BA1052" s="10" t="s">
        <v>1862</v>
      </c>
      <c r="BC1052" s="28">
        <f>AW1052+AX1052</f>
        <v>0</v>
      </c>
      <c r="BD1052" s="28">
        <f>G1052/(100-BE1052)*100</f>
        <v>0</v>
      </c>
      <c r="BE1052" s="28">
        <v>0</v>
      </c>
      <c r="BF1052" s="28">
        <f>1052</f>
        <v>1052</v>
      </c>
      <c r="BH1052" s="28">
        <f>F1052*AO1052</f>
        <v>0</v>
      </c>
      <c r="BI1052" s="28">
        <f>F1052*AP1052</f>
        <v>0</v>
      </c>
      <c r="BJ1052" s="28">
        <f>F1052*G1052</f>
        <v>0</v>
      </c>
      <c r="BK1052" s="28"/>
      <c r="BL1052" s="28">
        <v>2</v>
      </c>
      <c r="BW1052" s="28">
        <v>21</v>
      </c>
    </row>
    <row r="1053" spans="1:75" ht="27" customHeight="1" x14ac:dyDescent="0.25">
      <c r="A1053" s="2" t="s">
        <v>1863</v>
      </c>
      <c r="B1053" s="3" t="s">
        <v>1864</v>
      </c>
      <c r="C1053" s="83" t="s">
        <v>1865</v>
      </c>
      <c r="D1053" s="80"/>
      <c r="E1053" s="3" t="s">
        <v>172</v>
      </c>
      <c r="F1053" s="28">
        <v>3</v>
      </c>
      <c r="G1053" s="28">
        <v>0</v>
      </c>
      <c r="H1053" s="28">
        <f>F1053*AO1053</f>
        <v>0</v>
      </c>
      <c r="I1053" s="28">
        <f>F1053*AP1053</f>
        <v>0</v>
      </c>
      <c r="J1053" s="28">
        <f>F1053*G1053</f>
        <v>0</v>
      </c>
      <c r="K1053" s="29" t="s">
        <v>61</v>
      </c>
      <c r="Z1053" s="28">
        <f>IF(AQ1053="5",BJ1053,0)</f>
        <v>0</v>
      </c>
      <c r="AB1053" s="28">
        <f>IF(AQ1053="1",BH1053,0)</f>
        <v>0</v>
      </c>
      <c r="AC1053" s="28">
        <f>IF(AQ1053="1",BI1053,0)</f>
        <v>0</v>
      </c>
      <c r="AD1053" s="28">
        <f>IF(AQ1053="7",BH1053,0)</f>
        <v>0</v>
      </c>
      <c r="AE1053" s="28">
        <f>IF(AQ1053="7",BI1053,0)</f>
        <v>0</v>
      </c>
      <c r="AF1053" s="28">
        <f>IF(AQ1053="2",BH1053,0)</f>
        <v>0</v>
      </c>
      <c r="AG1053" s="28">
        <f>IF(AQ1053="2",BI1053,0)</f>
        <v>0</v>
      </c>
      <c r="AH1053" s="28">
        <f>IF(AQ1053="0",BJ1053,0)</f>
        <v>0</v>
      </c>
      <c r="AI1053" s="10" t="s">
        <v>1856</v>
      </c>
      <c r="AJ1053" s="28">
        <f>IF(AN1053=0,J1053,0)</f>
        <v>0</v>
      </c>
      <c r="AK1053" s="28">
        <f>IF(AN1053=12,J1053,0)</f>
        <v>0</v>
      </c>
      <c r="AL1053" s="28">
        <f>IF(AN1053=21,J1053,0)</f>
        <v>0</v>
      </c>
      <c r="AN1053" s="28">
        <v>21</v>
      </c>
      <c r="AO1053" s="28">
        <f>G1053*1</f>
        <v>0</v>
      </c>
      <c r="AP1053" s="28">
        <f>G1053*(1-1)</f>
        <v>0</v>
      </c>
      <c r="AQ1053" s="30" t="s">
        <v>57</v>
      </c>
      <c r="AV1053" s="28">
        <f>AW1053+AX1053</f>
        <v>0</v>
      </c>
      <c r="AW1053" s="28">
        <f>F1053*AO1053</f>
        <v>0</v>
      </c>
      <c r="AX1053" s="28">
        <f>F1053*AP1053</f>
        <v>0</v>
      </c>
      <c r="AY1053" s="30" t="s">
        <v>1860</v>
      </c>
      <c r="AZ1053" s="30" t="s">
        <v>1861</v>
      </c>
      <c r="BA1053" s="10" t="s">
        <v>1862</v>
      </c>
      <c r="BC1053" s="28">
        <f>AW1053+AX1053</f>
        <v>0</v>
      </c>
      <c r="BD1053" s="28">
        <f>G1053/(100-BE1053)*100</f>
        <v>0</v>
      </c>
      <c r="BE1053" s="28">
        <v>0</v>
      </c>
      <c r="BF1053" s="28">
        <f>1053</f>
        <v>1053</v>
      </c>
      <c r="BH1053" s="28">
        <f>F1053*AO1053</f>
        <v>0</v>
      </c>
      <c r="BI1053" s="28">
        <f>F1053*AP1053</f>
        <v>0</v>
      </c>
      <c r="BJ1053" s="28">
        <f>F1053*G1053</f>
        <v>0</v>
      </c>
      <c r="BK1053" s="28"/>
      <c r="BL1053" s="28">
        <v>2</v>
      </c>
      <c r="BW1053" s="28">
        <v>21</v>
      </c>
    </row>
    <row r="1054" spans="1:75" ht="13.5" customHeight="1" x14ac:dyDescent="0.25">
      <c r="A1054" s="2" t="s">
        <v>1866</v>
      </c>
      <c r="B1054" s="3" t="s">
        <v>1867</v>
      </c>
      <c r="C1054" s="83" t="s">
        <v>1868</v>
      </c>
      <c r="D1054" s="80"/>
      <c r="E1054" s="3" t="s">
        <v>1869</v>
      </c>
      <c r="F1054" s="28">
        <v>23</v>
      </c>
      <c r="G1054" s="28">
        <v>0</v>
      </c>
      <c r="H1054" s="28">
        <f>F1054*AO1054</f>
        <v>0</v>
      </c>
      <c r="I1054" s="28">
        <f>F1054*AP1054</f>
        <v>0</v>
      </c>
      <c r="J1054" s="28">
        <f>F1054*G1054</f>
        <v>0</v>
      </c>
      <c r="K1054" s="29" t="s">
        <v>52</v>
      </c>
      <c r="Z1054" s="28">
        <f>IF(AQ1054="5",BJ1054,0)</f>
        <v>0</v>
      </c>
      <c r="AB1054" s="28">
        <f>IF(AQ1054="1",BH1054,0)</f>
        <v>0</v>
      </c>
      <c r="AC1054" s="28">
        <f>IF(AQ1054="1",BI1054,0)</f>
        <v>0</v>
      </c>
      <c r="AD1054" s="28">
        <f>IF(AQ1054="7",BH1054,0)</f>
        <v>0</v>
      </c>
      <c r="AE1054" s="28">
        <f>IF(AQ1054="7",BI1054,0)</f>
        <v>0</v>
      </c>
      <c r="AF1054" s="28">
        <f>IF(AQ1054="2",BH1054,0)</f>
        <v>0</v>
      </c>
      <c r="AG1054" s="28">
        <f>IF(AQ1054="2",BI1054,0)</f>
        <v>0</v>
      </c>
      <c r="AH1054" s="28">
        <f>IF(AQ1054="0",BJ1054,0)</f>
        <v>0</v>
      </c>
      <c r="AI1054" s="10" t="s">
        <v>1856</v>
      </c>
      <c r="AJ1054" s="28">
        <f>IF(AN1054=0,J1054,0)</f>
        <v>0</v>
      </c>
      <c r="AK1054" s="28">
        <f>IF(AN1054=12,J1054,0)</f>
        <v>0</v>
      </c>
      <c r="AL1054" s="28">
        <f>IF(AN1054=21,J1054,0)</f>
        <v>0</v>
      </c>
      <c r="AN1054" s="28">
        <v>21</v>
      </c>
      <c r="AO1054" s="28">
        <f>G1054*0</f>
        <v>0</v>
      </c>
      <c r="AP1054" s="28">
        <f>G1054*(1-0)</f>
        <v>0</v>
      </c>
      <c r="AQ1054" s="30" t="s">
        <v>57</v>
      </c>
      <c r="AV1054" s="28">
        <f>AW1054+AX1054</f>
        <v>0</v>
      </c>
      <c r="AW1054" s="28">
        <f>F1054*AO1054</f>
        <v>0</v>
      </c>
      <c r="AX1054" s="28">
        <f>F1054*AP1054</f>
        <v>0</v>
      </c>
      <c r="AY1054" s="30" t="s">
        <v>1860</v>
      </c>
      <c r="AZ1054" s="30" t="s">
        <v>1861</v>
      </c>
      <c r="BA1054" s="10" t="s">
        <v>1862</v>
      </c>
      <c r="BC1054" s="28">
        <f>AW1054+AX1054</f>
        <v>0</v>
      </c>
      <c r="BD1054" s="28">
        <f>G1054/(100-BE1054)*100</f>
        <v>0</v>
      </c>
      <c r="BE1054" s="28">
        <v>0</v>
      </c>
      <c r="BF1054" s="28">
        <f>1054</f>
        <v>1054</v>
      </c>
      <c r="BH1054" s="28">
        <f>F1054*AO1054</f>
        <v>0</v>
      </c>
      <c r="BI1054" s="28">
        <f>F1054*AP1054</f>
        <v>0</v>
      </c>
      <c r="BJ1054" s="28">
        <f>F1054*G1054</f>
        <v>0</v>
      </c>
      <c r="BK1054" s="28"/>
      <c r="BL1054" s="28">
        <v>2</v>
      </c>
      <c r="BW1054" s="28">
        <v>21</v>
      </c>
    </row>
    <row r="1055" spans="1:75" ht="13.5" customHeight="1" x14ac:dyDescent="0.25">
      <c r="A1055" s="2" t="s">
        <v>1870</v>
      </c>
      <c r="B1055" s="3" t="s">
        <v>1871</v>
      </c>
      <c r="C1055" s="83" t="s">
        <v>1872</v>
      </c>
      <c r="D1055" s="80"/>
      <c r="E1055" s="3" t="s">
        <v>128</v>
      </c>
      <c r="F1055" s="28">
        <v>1</v>
      </c>
      <c r="G1055" s="28">
        <v>0</v>
      </c>
      <c r="H1055" s="28">
        <f>F1055*AO1055</f>
        <v>0</v>
      </c>
      <c r="I1055" s="28">
        <f>F1055*AP1055</f>
        <v>0</v>
      </c>
      <c r="J1055" s="28">
        <f>F1055*G1055</f>
        <v>0</v>
      </c>
      <c r="K1055" s="29" t="s">
        <v>52</v>
      </c>
      <c r="Z1055" s="28">
        <f>IF(AQ1055="5",BJ1055,0)</f>
        <v>0</v>
      </c>
      <c r="AB1055" s="28">
        <f>IF(AQ1055="1",BH1055,0)</f>
        <v>0</v>
      </c>
      <c r="AC1055" s="28">
        <f>IF(AQ1055="1",BI1055,0)</f>
        <v>0</v>
      </c>
      <c r="AD1055" s="28">
        <f>IF(AQ1055="7",BH1055,0)</f>
        <v>0</v>
      </c>
      <c r="AE1055" s="28">
        <f>IF(AQ1055="7",BI1055,0)</f>
        <v>0</v>
      </c>
      <c r="AF1055" s="28">
        <f>IF(AQ1055="2",BH1055,0)</f>
        <v>0</v>
      </c>
      <c r="AG1055" s="28">
        <f>IF(AQ1055="2",BI1055,0)</f>
        <v>0</v>
      </c>
      <c r="AH1055" s="28">
        <f>IF(AQ1055="0",BJ1055,0)</f>
        <v>0</v>
      </c>
      <c r="AI1055" s="10" t="s">
        <v>1856</v>
      </c>
      <c r="AJ1055" s="28">
        <f>IF(AN1055=0,J1055,0)</f>
        <v>0</v>
      </c>
      <c r="AK1055" s="28">
        <f>IF(AN1055=12,J1055,0)</f>
        <v>0</v>
      </c>
      <c r="AL1055" s="28">
        <f>IF(AN1055=21,J1055,0)</f>
        <v>0</v>
      </c>
      <c r="AN1055" s="28">
        <v>21</v>
      </c>
      <c r="AO1055" s="28">
        <f>G1055*0.787504922</f>
        <v>0</v>
      </c>
      <c r="AP1055" s="28">
        <f>G1055*(1-0.787504922)</f>
        <v>0</v>
      </c>
      <c r="AQ1055" s="30" t="s">
        <v>57</v>
      </c>
      <c r="AV1055" s="28">
        <f>AW1055+AX1055</f>
        <v>0</v>
      </c>
      <c r="AW1055" s="28">
        <f>F1055*AO1055</f>
        <v>0</v>
      </c>
      <c r="AX1055" s="28">
        <f>F1055*AP1055</f>
        <v>0</v>
      </c>
      <c r="AY1055" s="30" t="s">
        <v>1860</v>
      </c>
      <c r="AZ1055" s="30" t="s">
        <v>1861</v>
      </c>
      <c r="BA1055" s="10" t="s">
        <v>1862</v>
      </c>
      <c r="BC1055" s="28">
        <f>AW1055+AX1055</f>
        <v>0</v>
      </c>
      <c r="BD1055" s="28">
        <f>G1055/(100-BE1055)*100</f>
        <v>0</v>
      </c>
      <c r="BE1055" s="28">
        <v>0</v>
      </c>
      <c r="BF1055" s="28">
        <f>1055</f>
        <v>1055</v>
      </c>
      <c r="BH1055" s="28">
        <f>F1055*AO1055</f>
        <v>0</v>
      </c>
      <c r="BI1055" s="28">
        <f>F1055*AP1055</f>
        <v>0</v>
      </c>
      <c r="BJ1055" s="28">
        <f>F1055*G1055</f>
        <v>0</v>
      </c>
      <c r="BK1055" s="28"/>
      <c r="BL1055" s="28">
        <v>2</v>
      </c>
      <c r="BW1055" s="28">
        <v>21</v>
      </c>
    </row>
    <row r="1056" spans="1:75" x14ac:dyDescent="0.25">
      <c r="A1056" s="24" t="s">
        <v>52</v>
      </c>
      <c r="B1056" s="25" t="s">
        <v>52</v>
      </c>
      <c r="C1056" s="139" t="s">
        <v>1873</v>
      </c>
      <c r="D1056" s="140"/>
      <c r="E1056" s="26" t="s">
        <v>4</v>
      </c>
      <c r="F1056" s="26" t="s">
        <v>4</v>
      </c>
      <c r="G1056" s="26" t="s">
        <v>4</v>
      </c>
      <c r="H1056" s="1">
        <f>H1057+H1062+H1074+H1085+H1104</f>
        <v>0</v>
      </c>
      <c r="I1056" s="1">
        <f>I1057+I1062+I1074+I1085+I1104</f>
        <v>0</v>
      </c>
      <c r="J1056" s="1">
        <f>J1057+J1062+J1074+J1085+J1104</f>
        <v>0</v>
      </c>
      <c r="K1056" s="27" t="s">
        <v>52</v>
      </c>
    </row>
    <row r="1057" spans="1:75" x14ac:dyDescent="0.25">
      <c r="A1057" s="24" t="s">
        <v>52</v>
      </c>
      <c r="B1057" s="25" t="s">
        <v>57</v>
      </c>
      <c r="C1057" s="139" t="s">
        <v>1874</v>
      </c>
      <c r="D1057" s="140"/>
      <c r="E1057" s="26" t="s">
        <v>4</v>
      </c>
      <c r="F1057" s="26" t="s">
        <v>4</v>
      </c>
      <c r="G1057" s="26" t="s">
        <v>4</v>
      </c>
      <c r="H1057" s="1">
        <f>SUM(H1058:H1061)</f>
        <v>0</v>
      </c>
      <c r="I1057" s="1">
        <f>SUM(I1058:I1061)</f>
        <v>0</v>
      </c>
      <c r="J1057" s="1">
        <f>SUM(J1058:J1061)</f>
        <v>0</v>
      </c>
      <c r="K1057" s="27" t="s">
        <v>52</v>
      </c>
      <c r="AI1057" s="10" t="s">
        <v>1875</v>
      </c>
      <c r="AS1057" s="1">
        <f>SUM(AJ1058:AJ1061)</f>
        <v>0</v>
      </c>
      <c r="AT1057" s="1">
        <f>SUM(AK1058:AK1061)</f>
        <v>0</v>
      </c>
      <c r="AU1057" s="1">
        <f>SUM(AL1058:AL1061)</f>
        <v>0</v>
      </c>
    </row>
    <row r="1058" spans="1:75" ht="27" customHeight="1" x14ac:dyDescent="0.25">
      <c r="A1058" s="2" t="s">
        <v>1876</v>
      </c>
      <c r="B1058" s="3" t="s">
        <v>1877</v>
      </c>
      <c r="C1058" s="83" t="s">
        <v>1878</v>
      </c>
      <c r="D1058" s="80"/>
      <c r="E1058" s="3" t="s">
        <v>137</v>
      </c>
      <c r="F1058" s="28">
        <v>1</v>
      </c>
      <c r="G1058" s="28">
        <v>0</v>
      </c>
      <c r="H1058" s="28">
        <f>F1058*AO1058</f>
        <v>0</v>
      </c>
      <c r="I1058" s="28">
        <f>F1058*AP1058</f>
        <v>0</v>
      </c>
      <c r="J1058" s="28">
        <f>F1058*G1058</f>
        <v>0</v>
      </c>
      <c r="K1058" s="29" t="s">
        <v>61</v>
      </c>
      <c r="Z1058" s="28">
        <f>IF(AQ1058="5",BJ1058,0)</f>
        <v>0</v>
      </c>
      <c r="AB1058" s="28">
        <f>IF(AQ1058="1",BH1058,0)</f>
        <v>0</v>
      </c>
      <c r="AC1058" s="28">
        <f>IF(AQ1058="1",BI1058,0)</f>
        <v>0</v>
      </c>
      <c r="AD1058" s="28">
        <f>IF(AQ1058="7",BH1058,0)</f>
        <v>0</v>
      </c>
      <c r="AE1058" s="28">
        <f>IF(AQ1058="7",BI1058,0)</f>
        <v>0</v>
      </c>
      <c r="AF1058" s="28">
        <f>IF(AQ1058="2",BH1058,0)</f>
        <v>0</v>
      </c>
      <c r="AG1058" s="28">
        <f>IF(AQ1058="2",BI1058,0)</f>
        <v>0</v>
      </c>
      <c r="AH1058" s="28">
        <f>IF(AQ1058="0",BJ1058,0)</f>
        <v>0</v>
      </c>
      <c r="AI1058" s="10" t="s">
        <v>1875</v>
      </c>
      <c r="AJ1058" s="28">
        <f>IF(AN1058=0,J1058,0)</f>
        <v>0</v>
      </c>
      <c r="AK1058" s="28">
        <f>IF(AN1058=12,J1058,0)</f>
        <v>0</v>
      </c>
      <c r="AL1058" s="28">
        <f>IF(AN1058=21,J1058,0)</f>
        <v>0</v>
      </c>
      <c r="AN1058" s="28">
        <v>21</v>
      </c>
      <c r="AO1058" s="28">
        <f>G1058*1</f>
        <v>0</v>
      </c>
      <c r="AP1058" s="28">
        <f>G1058*(1-1)</f>
        <v>0</v>
      </c>
      <c r="AQ1058" s="30" t="s">
        <v>57</v>
      </c>
      <c r="AV1058" s="28">
        <f>AW1058+AX1058</f>
        <v>0</v>
      </c>
      <c r="AW1058" s="28">
        <f>F1058*AO1058</f>
        <v>0</v>
      </c>
      <c r="AX1058" s="28">
        <f>F1058*AP1058</f>
        <v>0</v>
      </c>
      <c r="AY1058" s="30" t="s">
        <v>1879</v>
      </c>
      <c r="AZ1058" s="30" t="s">
        <v>1880</v>
      </c>
      <c r="BA1058" s="10" t="s">
        <v>1881</v>
      </c>
      <c r="BC1058" s="28">
        <f>AW1058+AX1058</f>
        <v>0</v>
      </c>
      <c r="BD1058" s="28">
        <f>G1058/(100-BE1058)*100</f>
        <v>0</v>
      </c>
      <c r="BE1058" s="28">
        <v>0</v>
      </c>
      <c r="BF1058" s="28">
        <f>1058</f>
        <v>1058</v>
      </c>
      <c r="BH1058" s="28">
        <f>F1058*AO1058</f>
        <v>0</v>
      </c>
      <c r="BI1058" s="28">
        <f>F1058*AP1058</f>
        <v>0</v>
      </c>
      <c r="BJ1058" s="28">
        <f>F1058*G1058</f>
        <v>0</v>
      </c>
      <c r="BK1058" s="28"/>
      <c r="BL1058" s="28">
        <v>1</v>
      </c>
      <c r="BW1058" s="28">
        <v>21</v>
      </c>
    </row>
    <row r="1059" spans="1:75" ht="27" customHeight="1" x14ac:dyDescent="0.25">
      <c r="A1059" s="2" t="s">
        <v>1882</v>
      </c>
      <c r="B1059" s="3" t="s">
        <v>1883</v>
      </c>
      <c r="C1059" s="83" t="s">
        <v>1884</v>
      </c>
      <c r="D1059" s="80"/>
      <c r="E1059" s="3" t="s">
        <v>137</v>
      </c>
      <c r="F1059" s="28">
        <v>1</v>
      </c>
      <c r="G1059" s="28">
        <v>0</v>
      </c>
      <c r="H1059" s="28">
        <f>F1059*AO1059</f>
        <v>0</v>
      </c>
      <c r="I1059" s="28">
        <f>F1059*AP1059</f>
        <v>0</v>
      </c>
      <c r="J1059" s="28">
        <f>F1059*G1059</f>
        <v>0</v>
      </c>
      <c r="K1059" s="29" t="s">
        <v>61</v>
      </c>
      <c r="Z1059" s="28">
        <f>IF(AQ1059="5",BJ1059,0)</f>
        <v>0</v>
      </c>
      <c r="AB1059" s="28">
        <f>IF(AQ1059="1",BH1059,0)</f>
        <v>0</v>
      </c>
      <c r="AC1059" s="28">
        <f>IF(AQ1059="1",BI1059,0)</f>
        <v>0</v>
      </c>
      <c r="AD1059" s="28">
        <f>IF(AQ1059="7",BH1059,0)</f>
        <v>0</v>
      </c>
      <c r="AE1059" s="28">
        <f>IF(AQ1059="7",BI1059,0)</f>
        <v>0</v>
      </c>
      <c r="AF1059" s="28">
        <f>IF(AQ1059="2",BH1059,0)</f>
        <v>0</v>
      </c>
      <c r="AG1059" s="28">
        <f>IF(AQ1059="2",BI1059,0)</f>
        <v>0</v>
      </c>
      <c r="AH1059" s="28">
        <f>IF(AQ1059="0",BJ1059,0)</f>
        <v>0</v>
      </c>
      <c r="AI1059" s="10" t="s">
        <v>1875</v>
      </c>
      <c r="AJ1059" s="28">
        <f>IF(AN1059=0,J1059,0)</f>
        <v>0</v>
      </c>
      <c r="AK1059" s="28">
        <f>IF(AN1059=12,J1059,0)</f>
        <v>0</v>
      </c>
      <c r="AL1059" s="28">
        <f>IF(AN1059=21,J1059,0)</f>
        <v>0</v>
      </c>
      <c r="AN1059" s="28">
        <v>21</v>
      </c>
      <c r="AO1059" s="28">
        <f>G1059*1</f>
        <v>0</v>
      </c>
      <c r="AP1059" s="28">
        <f>G1059*(1-1)</f>
        <v>0</v>
      </c>
      <c r="AQ1059" s="30" t="s">
        <v>57</v>
      </c>
      <c r="AV1059" s="28">
        <f>AW1059+AX1059</f>
        <v>0</v>
      </c>
      <c r="AW1059" s="28">
        <f>F1059*AO1059</f>
        <v>0</v>
      </c>
      <c r="AX1059" s="28">
        <f>F1059*AP1059</f>
        <v>0</v>
      </c>
      <c r="AY1059" s="30" t="s">
        <v>1879</v>
      </c>
      <c r="AZ1059" s="30" t="s">
        <v>1880</v>
      </c>
      <c r="BA1059" s="10" t="s">
        <v>1881</v>
      </c>
      <c r="BC1059" s="28">
        <f>AW1059+AX1059</f>
        <v>0</v>
      </c>
      <c r="BD1059" s="28">
        <f>G1059/(100-BE1059)*100</f>
        <v>0</v>
      </c>
      <c r="BE1059" s="28">
        <v>0</v>
      </c>
      <c r="BF1059" s="28">
        <f>1059</f>
        <v>1059</v>
      </c>
      <c r="BH1059" s="28">
        <f>F1059*AO1059</f>
        <v>0</v>
      </c>
      <c r="BI1059" s="28">
        <f>F1059*AP1059</f>
        <v>0</v>
      </c>
      <c r="BJ1059" s="28">
        <f>F1059*G1059</f>
        <v>0</v>
      </c>
      <c r="BK1059" s="28"/>
      <c r="BL1059" s="28">
        <v>1</v>
      </c>
      <c r="BW1059" s="28">
        <v>21</v>
      </c>
    </row>
    <row r="1060" spans="1:75" ht="13.5" customHeight="1" x14ac:dyDescent="0.25">
      <c r="A1060" s="2" t="s">
        <v>1885</v>
      </c>
      <c r="B1060" s="3" t="s">
        <v>1886</v>
      </c>
      <c r="C1060" s="83" t="s">
        <v>1887</v>
      </c>
      <c r="D1060" s="80"/>
      <c r="E1060" s="3" t="s">
        <v>1869</v>
      </c>
      <c r="F1060" s="28">
        <v>43</v>
      </c>
      <c r="G1060" s="28">
        <v>0</v>
      </c>
      <c r="H1060" s="28">
        <f>F1060*AO1060</f>
        <v>0</v>
      </c>
      <c r="I1060" s="28">
        <f>F1060*AP1060</f>
        <v>0</v>
      </c>
      <c r="J1060" s="28">
        <f>F1060*G1060</f>
        <v>0</v>
      </c>
      <c r="K1060" s="29" t="s">
        <v>52</v>
      </c>
      <c r="Z1060" s="28">
        <f>IF(AQ1060="5",BJ1060,0)</f>
        <v>0</v>
      </c>
      <c r="AB1060" s="28">
        <f>IF(AQ1060="1",BH1060,0)</f>
        <v>0</v>
      </c>
      <c r="AC1060" s="28">
        <f>IF(AQ1060="1",BI1060,0)</f>
        <v>0</v>
      </c>
      <c r="AD1060" s="28">
        <f>IF(AQ1060="7",BH1060,0)</f>
        <v>0</v>
      </c>
      <c r="AE1060" s="28">
        <f>IF(AQ1060="7",BI1060,0)</f>
        <v>0</v>
      </c>
      <c r="AF1060" s="28">
        <f>IF(AQ1060="2",BH1060,0)</f>
        <v>0</v>
      </c>
      <c r="AG1060" s="28">
        <f>IF(AQ1060="2",BI1060,0)</f>
        <v>0</v>
      </c>
      <c r="AH1060" s="28">
        <f>IF(AQ1060="0",BJ1060,0)</f>
        <v>0</v>
      </c>
      <c r="AI1060" s="10" t="s">
        <v>1875</v>
      </c>
      <c r="AJ1060" s="28">
        <f>IF(AN1060=0,J1060,0)</f>
        <v>0</v>
      </c>
      <c r="AK1060" s="28">
        <f>IF(AN1060=12,J1060,0)</f>
        <v>0</v>
      </c>
      <c r="AL1060" s="28">
        <f>IF(AN1060=21,J1060,0)</f>
        <v>0</v>
      </c>
      <c r="AN1060" s="28">
        <v>21</v>
      </c>
      <c r="AO1060" s="28">
        <f>G1060*0</f>
        <v>0</v>
      </c>
      <c r="AP1060" s="28">
        <f>G1060*(1-0)</f>
        <v>0</v>
      </c>
      <c r="AQ1060" s="30" t="s">
        <v>57</v>
      </c>
      <c r="AV1060" s="28">
        <f>AW1060+AX1060</f>
        <v>0</v>
      </c>
      <c r="AW1060" s="28">
        <f>F1060*AO1060</f>
        <v>0</v>
      </c>
      <c r="AX1060" s="28">
        <f>F1060*AP1060</f>
        <v>0</v>
      </c>
      <c r="AY1060" s="30" t="s">
        <v>1879</v>
      </c>
      <c r="AZ1060" s="30" t="s">
        <v>1880</v>
      </c>
      <c r="BA1060" s="10" t="s">
        <v>1881</v>
      </c>
      <c r="BC1060" s="28">
        <f>AW1060+AX1060</f>
        <v>0</v>
      </c>
      <c r="BD1060" s="28">
        <f>G1060/(100-BE1060)*100</f>
        <v>0</v>
      </c>
      <c r="BE1060" s="28">
        <v>0</v>
      </c>
      <c r="BF1060" s="28">
        <f>1060</f>
        <v>1060</v>
      </c>
      <c r="BH1060" s="28">
        <f>F1060*AO1060</f>
        <v>0</v>
      </c>
      <c r="BI1060" s="28">
        <f>F1060*AP1060</f>
        <v>0</v>
      </c>
      <c r="BJ1060" s="28">
        <f>F1060*G1060</f>
        <v>0</v>
      </c>
      <c r="BK1060" s="28"/>
      <c r="BL1060" s="28">
        <v>1</v>
      </c>
      <c r="BW1060" s="28">
        <v>21</v>
      </c>
    </row>
    <row r="1061" spans="1:75" ht="13.5" customHeight="1" x14ac:dyDescent="0.25">
      <c r="A1061" s="2" t="s">
        <v>1888</v>
      </c>
      <c r="B1061" s="3" t="s">
        <v>1889</v>
      </c>
      <c r="C1061" s="83" t="s">
        <v>1872</v>
      </c>
      <c r="D1061" s="80"/>
      <c r="E1061" s="3" t="s">
        <v>531</v>
      </c>
      <c r="F1061" s="28">
        <v>1</v>
      </c>
      <c r="G1061" s="28">
        <v>0</v>
      </c>
      <c r="H1061" s="28">
        <f>F1061*AO1061</f>
        <v>0</v>
      </c>
      <c r="I1061" s="28">
        <f>F1061*AP1061</f>
        <v>0</v>
      </c>
      <c r="J1061" s="28">
        <f>F1061*G1061</f>
        <v>0</v>
      </c>
      <c r="K1061" s="29" t="s">
        <v>52</v>
      </c>
      <c r="Z1061" s="28">
        <f>IF(AQ1061="5",BJ1061,0)</f>
        <v>0</v>
      </c>
      <c r="AB1061" s="28">
        <f>IF(AQ1061="1",BH1061,0)</f>
        <v>0</v>
      </c>
      <c r="AC1061" s="28">
        <f>IF(AQ1061="1",BI1061,0)</f>
        <v>0</v>
      </c>
      <c r="AD1061" s="28">
        <f>IF(AQ1061="7",BH1061,0)</f>
        <v>0</v>
      </c>
      <c r="AE1061" s="28">
        <f>IF(AQ1061="7",BI1061,0)</f>
        <v>0</v>
      </c>
      <c r="AF1061" s="28">
        <f>IF(AQ1061="2",BH1061,0)</f>
        <v>0</v>
      </c>
      <c r="AG1061" s="28">
        <f>IF(AQ1061="2",BI1061,0)</f>
        <v>0</v>
      </c>
      <c r="AH1061" s="28">
        <f>IF(AQ1061="0",BJ1061,0)</f>
        <v>0</v>
      </c>
      <c r="AI1061" s="10" t="s">
        <v>1875</v>
      </c>
      <c r="AJ1061" s="28">
        <f>IF(AN1061=0,J1061,0)</f>
        <v>0</v>
      </c>
      <c r="AK1061" s="28">
        <f>IF(AN1061=12,J1061,0)</f>
        <v>0</v>
      </c>
      <c r="AL1061" s="28">
        <f>IF(AN1061=21,J1061,0)</f>
        <v>0</v>
      </c>
      <c r="AN1061" s="28">
        <v>21</v>
      </c>
      <c r="AO1061" s="28">
        <f>G1061*0.815430048</f>
        <v>0</v>
      </c>
      <c r="AP1061" s="28">
        <f>G1061*(1-0.815430048)</f>
        <v>0</v>
      </c>
      <c r="AQ1061" s="30" t="s">
        <v>57</v>
      </c>
      <c r="AV1061" s="28">
        <f>AW1061+AX1061</f>
        <v>0</v>
      </c>
      <c r="AW1061" s="28">
        <f>F1061*AO1061</f>
        <v>0</v>
      </c>
      <c r="AX1061" s="28">
        <f>F1061*AP1061</f>
        <v>0</v>
      </c>
      <c r="AY1061" s="30" t="s">
        <v>1879</v>
      </c>
      <c r="AZ1061" s="30" t="s">
        <v>1880</v>
      </c>
      <c r="BA1061" s="10" t="s">
        <v>1881</v>
      </c>
      <c r="BC1061" s="28">
        <f>AW1061+AX1061</f>
        <v>0</v>
      </c>
      <c r="BD1061" s="28">
        <f>G1061/(100-BE1061)*100</f>
        <v>0</v>
      </c>
      <c r="BE1061" s="28">
        <v>0</v>
      </c>
      <c r="BF1061" s="28">
        <f>1061</f>
        <v>1061</v>
      </c>
      <c r="BH1061" s="28">
        <f>F1061*AO1061</f>
        <v>0</v>
      </c>
      <c r="BI1061" s="28">
        <f>F1061*AP1061</f>
        <v>0</v>
      </c>
      <c r="BJ1061" s="28">
        <f>F1061*G1061</f>
        <v>0</v>
      </c>
      <c r="BK1061" s="28"/>
      <c r="BL1061" s="28">
        <v>1</v>
      </c>
      <c r="BW1061" s="28">
        <v>21</v>
      </c>
    </row>
    <row r="1062" spans="1:75" x14ac:dyDescent="0.25">
      <c r="A1062" s="24" t="s">
        <v>52</v>
      </c>
      <c r="B1062" s="25" t="s">
        <v>75</v>
      </c>
      <c r="C1062" s="139" t="s">
        <v>1890</v>
      </c>
      <c r="D1062" s="140"/>
      <c r="E1062" s="26" t="s">
        <v>4</v>
      </c>
      <c r="F1062" s="26" t="s">
        <v>4</v>
      </c>
      <c r="G1062" s="26" t="s">
        <v>4</v>
      </c>
      <c r="H1062" s="1">
        <f>SUM(H1063:H1073)</f>
        <v>0</v>
      </c>
      <c r="I1062" s="1">
        <f>SUM(I1063:I1073)</f>
        <v>0</v>
      </c>
      <c r="J1062" s="1">
        <f>SUM(J1063:J1073)</f>
        <v>0</v>
      </c>
      <c r="K1062" s="27" t="s">
        <v>52</v>
      </c>
      <c r="AI1062" s="10" t="s">
        <v>1875</v>
      </c>
      <c r="AS1062" s="1">
        <f>SUM(AJ1063:AJ1073)</f>
        <v>0</v>
      </c>
      <c r="AT1062" s="1">
        <f>SUM(AK1063:AK1073)</f>
        <v>0</v>
      </c>
      <c r="AU1062" s="1">
        <f>SUM(AL1063:AL1073)</f>
        <v>0</v>
      </c>
    </row>
    <row r="1063" spans="1:75" ht="13.5" customHeight="1" x14ac:dyDescent="0.25">
      <c r="A1063" s="2" t="s">
        <v>1891</v>
      </c>
      <c r="B1063" s="3" t="s">
        <v>1892</v>
      </c>
      <c r="C1063" s="83" t="s">
        <v>1893</v>
      </c>
      <c r="D1063" s="80"/>
      <c r="E1063" s="3" t="s">
        <v>137</v>
      </c>
      <c r="F1063" s="28">
        <v>2</v>
      </c>
      <c r="G1063" s="28">
        <v>0</v>
      </c>
      <c r="H1063" s="28">
        <f t="shared" ref="H1063:H1073" si="0">F1063*AO1063</f>
        <v>0</v>
      </c>
      <c r="I1063" s="28">
        <f t="shared" ref="I1063:I1073" si="1">F1063*AP1063</f>
        <v>0</v>
      </c>
      <c r="J1063" s="28">
        <f t="shared" ref="J1063:J1073" si="2">F1063*G1063</f>
        <v>0</v>
      </c>
      <c r="K1063" s="29" t="s">
        <v>61</v>
      </c>
      <c r="Z1063" s="28">
        <f t="shared" ref="Z1063:Z1073" si="3">IF(AQ1063="5",BJ1063,0)</f>
        <v>0</v>
      </c>
      <c r="AB1063" s="28">
        <f t="shared" ref="AB1063:AB1073" si="4">IF(AQ1063="1",BH1063,0)</f>
        <v>0</v>
      </c>
      <c r="AC1063" s="28">
        <f t="shared" ref="AC1063:AC1073" si="5">IF(AQ1063="1",BI1063,0)</f>
        <v>0</v>
      </c>
      <c r="AD1063" s="28">
        <f t="shared" ref="AD1063:AD1073" si="6">IF(AQ1063="7",BH1063,0)</f>
        <v>0</v>
      </c>
      <c r="AE1063" s="28">
        <f t="shared" ref="AE1063:AE1073" si="7">IF(AQ1063="7",BI1063,0)</f>
        <v>0</v>
      </c>
      <c r="AF1063" s="28">
        <f t="shared" ref="AF1063:AF1073" si="8">IF(AQ1063="2",BH1063,0)</f>
        <v>0</v>
      </c>
      <c r="AG1063" s="28">
        <f t="shared" ref="AG1063:AG1073" si="9">IF(AQ1063="2",BI1063,0)</f>
        <v>0</v>
      </c>
      <c r="AH1063" s="28">
        <f t="shared" ref="AH1063:AH1073" si="10">IF(AQ1063="0",BJ1063,0)</f>
        <v>0</v>
      </c>
      <c r="AI1063" s="10" t="s">
        <v>1875</v>
      </c>
      <c r="AJ1063" s="28">
        <f t="shared" ref="AJ1063:AJ1073" si="11">IF(AN1063=0,J1063,0)</f>
        <v>0</v>
      </c>
      <c r="AK1063" s="28">
        <f t="shared" ref="AK1063:AK1073" si="12">IF(AN1063=12,J1063,0)</f>
        <v>0</v>
      </c>
      <c r="AL1063" s="28">
        <f t="shared" ref="AL1063:AL1073" si="13">IF(AN1063=21,J1063,0)</f>
        <v>0</v>
      </c>
      <c r="AN1063" s="28">
        <v>21</v>
      </c>
      <c r="AO1063" s="28">
        <f t="shared" ref="AO1063:AO1071" si="14">G1063*1</f>
        <v>0</v>
      </c>
      <c r="AP1063" s="28">
        <f t="shared" ref="AP1063:AP1071" si="15">G1063*(1-1)</f>
        <v>0</v>
      </c>
      <c r="AQ1063" s="30" t="s">
        <v>57</v>
      </c>
      <c r="AV1063" s="28">
        <f t="shared" ref="AV1063:AV1073" si="16">AW1063+AX1063</f>
        <v>0</v>
      </c>
      <c r="AW1063" s="28">
        <f t="shared" ref="AW1063:AW1073" si="17">F1063*AO1063</f>
        <v>0</v>
      </c>
      <c r="AX1063" s="28">
        <f t="shared" ref="AX1063:AX1073" si="18">F1063*AP1063</f>
        <v>0</v>
      </c>
      <c r="AY1063" s="30" t="s">
        <v>1894</v>
      </c>
      <c r="AZ1063" s="30" t="s">
        <v>1895</v>
      </c>
      <c r="BA1063" s="10" t="s">
        <v>1881</v>
      </c>
      <c r="BC1063" s="28">
        <f t="shared" ref="BC1063:BC1073" si="19">AW1063+AX1063</f>
        <v>0</v>
      </c>
      <c r="BD1063" s="28">
        <f t="shared" ref="BD1063:BD1073" si="20">G1063/(100-BE1063)*100</f>
        <v>0</v>
      </c>
      <c r="BE1063" s="28">
        <v>0</v>
      </c>
      <c r="BF1063" s="28">
        <f>1063</f>
        <v>1063</v>
      </c>
      <c r="BH1063" s="28">
        <f t="shared" ref="BH1063:BH1073" si="21">F1063*AO1063</f>
        <v>0</v>
      </c>
      <c r="BI1063" s="28">
        <f t="shared" ref="BI1063:BI1073" si="22">F1063*AP1063</f>
        <v>0</v>
      </c>
      <c r="BJ1063" s="28">
        <f t="shared" ref="BJ1063:BJ1073" si="23">F1063*G1063</f>
        <v>0</v>
      </c>
      <c r="BK1063" s="28"/>
      <c r="BL1063" s="28">
        <v>3</v>
      </c>
      <c r="BW1063" s="28">
        <v>21</v>
      </c>
    </row>
    <row r="1064" spans="1:75" ht="27" customHeight="1" x14ac:dyDescent="0.25">
      <c r="A1064" s="2" t="s">
        <v>1896</v>
      </c>
      <c r="B1064" s="3" t="s">
        <v>1897</v>
      </c>
      <c r="C1064" s="83" t="s">
        <v>1898</v>
      </c>
      <c r="D1064" s="80"/>
      <c r="E1064" s="3" t="s">
        <v>137</v>
      </c>
      <c r="F1064" s="28">
        <v>1</v>
      </c>
      <c r="G1064" s="28">
        <v>0</v>
      </c>
      <c r="H1064" s="28">
        <f t="shared" si="0"/>
        <v>0</v>
      </c>
      <c r="I1064" s="28">
        <f t="shared" si="1"/>
        <v>0</v>
      </c>
      <c r="J1064" s="28">
        <f t="shared" si="2"/>
        <v>0</v>
      </c>
      <c r="K1064" s="29" t="s">
        <v>61</v>
      </c>
      <c r="Z1064" s="28">
        <f t="shared" si="3"/>
        <v>0</v>
      </c>
      <c r="AB1064" s="28">
        <f t="shared" si="4"/>
        <v>0</v>
      </c>
      <c r="AC1064" s="28">
        <f t="shared" si="5"/>
        <v>0</v>
      </c>
      <c r="AD1064" s="28">
        <f t="shared" si="6"/>
        <v>0</v>
      </c>
      <c r="AE1064" s="28">
        <f t="shared" si="7"/>
        <v>0</v>
      </c>
      <c r="AF1064" s="28">
        <f t="shared" si="8"/>
        <v>0</v>
      </c>
      <c r="AG1064" s="28">
        <f t="shared" si="9"/>
        <v>0</v>
      </c>
      <c r="AH1064" s="28">
        <f t="shared" si="10"/>
        <v>0</v>
      </c>
      <c r="AI1064" s="10" t="s">
        <v>1875</v>
      </c>
      <c r="AJ1064" s="28">
        <f t="shared" si="11"/>
        <v>0</v>
      </c>
      <c r="AK1064" s="28">
        <f t="shared" si="12"/>
        <v>0</v>
      </c>
      <c r="AL1064" s="28">
        <f t="shared" si="13"/>
        <v>0</v>
      </c>
      <c r="AN1064" s="28">
        <v>21</v>
      </c>
      <c r="AO1064" s="28">
        <f t="shared" si="14"/>
        <v>0</v>
      </c>
      <c r="AP1064" s="28">
        <f t="shared" si="15"/>
        <v>0</v>
      </c>
      <c r="AQ1064" s="30" t="s">
        <v>57</v>
      </c>
      <c r="AV1064" s="28">
        <f t="shared" si="16"/>
        <v>0</v>
      </c>
      <c r="AW1064" s="28">
        <f t="shared" si="17"/>
        <v>0</v>
      </c>
      <c r="AX1064" s="28">
        <f t="shared" si="18"/>
        <v>0</v>
      </c>
      <c r="AY1064" s="30" t="s">
        <v>1894</v>
      </c>
      <c r="AZ1064" s="30" t="s">
        <v>1895</v>
      </c>
      <c r="BA1064" s="10" t="s">
        <v>1881</v>
      </c>
      <c r="BC1064" s="28">
        <f t="shared" si="19"/>
        <v>0</v>
      </c>
      <c r="BD1064" s="28">
        <f t="shared" si="20"/>
        <v>0</v>
      </c>
      <c r="BE1064" s="28">
        <v>0</v>
      </c>
      <c r="BF1064" s="28">
        <f>1064</f>
        <v>1064</v>
      </c>
      <c r="BH1064" s="28">
        <f t="shared" si="21"/>
        <v>0</v>
      </c>
      <c r="BI1064" s="28">
        <f t="shared" si="22"/>
        <v>0</v>
      </c>
      <c r="BJ1064" s="28">
        <f t="shared" si="23"/>
        <v>0</v>
      </c>
      <c r="BK1064" s="28"/>
      <c r="BL1064" s="28">
        <v>3</v>
      </c>
      <c r="BW1064" s="28">
        <v>21</v>
      </c>
    </row>
    <row r="1065" spans="1:75" ht="27" customHeight="1" x14ac:dyDescent="0.25">
      <c r="A1065" s="2" t="s">
        <v>1899</v>
      </c>
      <c r="B1065" s="3" t="s">
        <v>1897</v>
      </c>
      <c r="C1065" s="83" t="s">
        <v>1900</v>
      </c>
      <c r="D1065" s="80"/>
      <c r="E1065" s="3" t="s">
        <v>137</v>
      </c>
      <c r="F1065" s="28">
        <v>1</v>
      </c>
      <c r="G1065" s="28">
        <v>0</v>
      </c>
      <c r="H1065" s="28">
        <f t="shared" si="0"/>
        <v>0</v>
      </c>
      <c r="I1065" s="28">
        <f t="shared" si="1"/>
        <v>0</v>
      </c>
      <c r="J1065" s="28">
        <f t="shared" si="2"/>
        <v>0</v>
      </c>
      <c r="K1065" s="29" t="s">
        <v>1491</v>
      </c>
      <c r="Z1065" s="28">
        <f t="shared" si="3"/>
        <v>0</v>
      </c>
      <c r="AB1065" s="28">
        <f t="shared" si="4"/>
        <v>0</v>
      </c>
      <c r="AC1065" s="28">
        <f t="shared" si="5"/>
        <v>0</v>
      </c>
      <c r="AD1065" s="28">
        <f t="shared" si="6"/>
        <v>0</v>
      </c>
      <c r="AE1065" s="28">
        <f t="shared" si="7"/>
        <v>0</v>
      </c>
      <c r="AF1065" s="28">
        <f t="shared" si="8"/>
        <v>0</v>
      </c>
      <c r="AG1065" s="28">
        <f t="shared" si="9"/>
        <v>0</v>
      </c>
      <c r="AH1065" s="28">
        <f t="shared" si="10"/>
        <v>0</v>
      </c>
      <c r="AI1065" s="10" t="s">
        <v>1875</v>
      </c>
      <c r="AJ1065" s="28">
        <f t="shared" si="11"/>
        <v>0</v>
      </c>
      <c r="AK1065" s="28">
        <f t="shared" si="12"/>
        <v>0</v>
      </c>
      <c r="AL1065" s="28">
        <f t="shared" si="13"/>
        <v>0</v>
      </c>
      <c r="AN1065" s="28">
        <v>21</v>
      </c>
      <c r="AO1065" s="28">
        <f t="shared" si="14"/>
        <v>0</v>
      </c>
      <c r="AP1065" s="28">
        <f t="shared" si="15"/>
        <v>0</v>
      </c>
      <c r="AQ1065" s="30" t="s">
        <v>57</v>
      </c>
      <c r="AV1065" s="28">
        <f t="shared" si="16"/>
        <v>0</v>
      </c>
      <c r="AW1065" s="28">
        <f t="shared" si="17"/>
        <v>0</v>
      </c>
      <c r="AX1065" s="28">
        <f t="shared" si="18"/>
        <v>0</v>
      </c>
      <c r="AY1065" s="30" t="s">
        <v>1894</v>
      </c>
      <c r="AZ1065" s="30" t="s">
        <v>1895</v>
      </c>
      <c r="BA1065" s="10" t="s">
        <v>1881</v>
      </c>
      <c r="BC1065" s="28">
        <f t="shared" si="19"/>
        <v>0</v>
      </c>
      <c r="BD1065" s="28">
        <f t="shared" si="20"/>
        <v>0</v>
      </c>
      <c r="BE1065" s="28">
        <v>0</v>
      </c>
      <c r="BF1065" s="28">
        <f>1065</f>
        <v>1065</v>
      </c>
      <c r="BH1065" s="28">
        <f t="shared" si="21"/>
        <v>0</v>
      </c>
      <c r="BI1065" s="28">
        <f t="shared" si="22"/>
        <v>0</v>
      </c>
      <c r="BJ1065" s="28">
        <f t="shared" si="23"/>
        <v>0</v>
      </c>
      <c r="BK1065" s="28"/>
      <c r="BL1065" s="28">
        <v>3</v>
      </c>
      <c r="BW1065" s="28">
        <v>21</v>
      </c>
    </row>
    <row r="1066" spans="1:75" ht="13.5" customHeight="1" x14ac:dyDescent="0.25">
      <c r="A1066" s="2" t="s">
        <v>1901</v>
      </c>
      <c r="B1066" s="3" t="s">
        <v>1902</v>
      </c>
      <c r="C1066" s="83" t="s">
        <v>1903</v>
      </c>
      <c r="D1066" s="80"/>
      <c r="E1066" s="3" t="s">
        <v>137</v>
      </c>
      <c r="F1066" s="28">
        <v>1</v>
      </c>
      <c r="G1066" s="28">
        <v>0</v>
      </c>
      <c r="H1066" s="28">
        <f t="shared" si="0"/>
        <v>0</v>
      </c>
      <c r="I1066" s="28">
        <f t="shared" si="1"/>
        <v>0</v>
      </c>
      <c r="J1066" s="28">
        <f t="shared" si="2"/>
        <v>0</v>
      </c>
      <c r="K1066" s="29" t="s">
        <v>1904</v>
      </c>
      <c r="Z1066" s="28">
        <f t="shared" si="3"/>
        <v>0</v>
      </c>
      <c r="AB1066" s="28">
        <f t="shared" si="4"/>
        <v>0</v>
      </c>
      <c r="AC1066" s="28">
        <f t="shared" si="5"/>
        <v>0</v>
      </c>
      <c r="AD1066" s="28">
        <f t="shared" si="6"/>
        <v>0</v>
      </c>
      <c r="AE1066" s="28">
        <f t="shared" si="7"/>
        <v>0</v>
      </c>
      <c r="AF1066" s="28">
        <f t="shared" si="8"/>
        <v>0</v>
      </c>
      <c r="AG1066" s="28">
        <f t="shared" si="9"/>
        <v>0</v>
      </c>
      <c r="AH1066" s="28">
        <f t="shared" si="10"/>
        <v>0</v>
      </c>
      <c r="AI1066" s="10" t="s">
        <v>1875</v>
      </c>
      <c r="AJ1066" s="28">
        <f t="shared" si="11"/>
        <v>0</v>
      </c>
      <c r="AK1066" s="28">
        <f t="shared" si="12"/>
        <v>0</v>
      </c>
      <c r="AL1066" s="28">
        <f t="shared" si="13"/>
        <v>0</v>
      </c>
      <c r="AN1066" s="28">
        <v>21</v>
      </c>
      <c r="AO1066" s="28">
        <f t="shared" si="14"/>
        <v>0</v>
      </c>
      <c r="AP1066" s="28">
        <f t="shared" si="15"/>
        <v>0</v>
      </c>
      <c r="AQ1066" s="30" t="s">
        <v>57</v>
      </c>
      <c r="AV1066" s="28">
        <f t="shared" si="16"/>
        <v>0</v>
      </c>
      <c r="AW1066" s="28">
        <f t="shared" si="17"/>
        <v>0</v>
      </c>
      <c r="AX1066" s="28">
        <f t="shared" si="18"/>
        <v>0</v>
      </c>
      <c r="AY1066" s="30" t="s">
        <v>1894</v>
      </c>
      <c r="AZ1066" s="30" t="s">
        <v>1895</v>
      </c>
      <c r="BA1066" s="10" t="s">
        <v>1881</v>
      </c>
      <c r="BC1066" s="28">
        <f t="shared" si="19"/>
        <v>0</v>
      </c>
      <c r="BD1066" s="28">
        <f t="shared" si="20"/>
        <v>0</v>
      </c>
      <c r="BE1066" s="28">
        <v>0</v>
      </c>
      <c r="BF1066" s="28">
        <f>1066</f>
        <v>1066</v>
      </c>
      <c r="BH1066" s="28">
        <f t="shared" si="21"/>
        <v>0</v>
      </c>
      <c r="BI1066" s="28">
        <f t="shared" si="22"/>
        <v>0</v>
      </c>
      <c r="BJ1066" s="28">
        <f t="shared" si="23"/>
        <v>0</v>
      </c>
      <c r="BK1066" s="28"/>
      <c r="BL1066" s="28">
        <v>3</v>
      </c>
      <c r="BW1066" s="28">
        <v>21</v>
      </c>
    </row>
    <row r="1067" spans="1:75" ht="13.5" customHeight="1" x14ac:dyDescent="0.25">
      <c r="A1067" s="2" t="s">
        <v>1905</v>
      </c>
      <c r="B1067" s="3" t="s">
        <v>1906</v>
      </c>
      <c r="C1067" s="83" t="s">
        <v>1907</v>
      </c>
      <c r="D1067" s="80"/>
      <c r="E1067" s="3" t="s">
        <v>137</v>
      </c>
      <c r="F1067" s="28">
        <v>1</v>
      </c>
      <c r="G1067" s="28">
        <v>0</v>
      </c>
      <c r="H1067" s="28">
        <f t="shared" si="0"/>
        <v>0</v>
      </c>
      <c r="I1067" s="28">
        <f t="shared" si="1"/>
        <v>0</v>
      </c>
      <c r="J1067" s="28">
        <f t="shared" si="2"/>
        <v>0</v>
      </c>
      <c r="K1067" s="29" t="s">
        <v>1904</v>
      </c>
      <c r="Z1067" s="28">
        <f t="shared" si="3"/>
        <v>0</v>
      </c>
      <c r="AB1067" s="28">
        <f t="shared" si="4"/>
        <v>0</v>
      </c>
      <c r="AC1067" s="28">
        <f t="shared" si="5"/>
        <v>0</v>
      </c>
      <c r="AD1067" s="28">
        <f t="shared" si="6"/>
        <v>0</v>
      </c>
      <c r="AE1067" s="28">
        <f t="shared" si="7"/>
        <v>0</v>
      </c>
      <c r="AF1067" s="28">
        <f t="shared" si="8"/>
        <v>0</v>
      </c>
      <c r="AG1067" s="28">
        <f t="shared" si="9"/>
        <v>0</v>
      </c>
      <c r="AH1067" s="28">
        <f t="shared" si="10"/>
        <v>0</v>
      </c>
      <c r="AI1067" s="10" t="s">
        <v>1875</v>
      </c>
      <c r="AJ1067" s="28">
        <f t="shared" si="11"/>
        <v>0</v>
      </c>
      <c r="AK1067" s="28">
        <f t="shared" si="12"/>
        <v>0</v>
      </c>
      <c r="AL1067" s="28">
        <f t="shared" si="13"/>
        <v>0</v>
      </c>
      <c r="AN1067" s="28">
        <v>21</v>
      </c>
      <c r="AO1067" s="28">
        <f t="shared" si="14"/>
        <v>0</v>
      </c>
      <c r="AP1067" s="28">
        <f t="shared" si="15"/>
        <v>0</v>
      </c>
      <c r="AQ1067" s="30" t="s">
        <v>57</v>
      </c>
      <c r="AV1067" s="28">
        <f t="shared" si="16"/>
        <v>0</v>
      </c>
      <c r="AW1067" s="28">
        <f t="shared" si="17"/>
        <v>0</v>
      </c>
      <c r="AX1067" s="28">
        <f t="shared" si="18"/>
        <v>0</v>
      </c>
      <c r="AY1067" s="30" t="s">
        <v>1894</v>
      </c>
      <c r="AZ1067" s="30" t="s">
        <v>1895</v>
      </c>
      <c r="BA1067" s="10" t="s">
        <v>1881</v>
      </c>
      <c r="BC1067" s="28">
        <f t="shared" si="19"/>
        <v>0</v>
      </c>
      <c r="BD1067" s="28">
        <f t="shared" si="20"/>
        <v>0</v>
      </c>
      <c r="BE1067" s="28">
        <v>0</v>
      </c>
      <c r="BF1067" s="28">
        <f>1067</f>
        <v>1067</v>
      </c>
      <c r="BH1067" s="28">
        <f t="shared" si="21"/>
        <v>0</v>
      </c>
      <c r="BI1067" s="28">
        <f t="shared" si="22"/>
        <v>0</v>
      </c>
      <c r="BJ1067" s="28">
        <f t="shared" si="23"/>
        <v>0</v>
      </c>
      <c r="BK1067" s="28"/>
      <c r="BL1067" s="28">
        <v>3</v>
      </c>
      <c r="BW1067" s="28">
        <v>21</v>
      </c>
    </row>
    <row r="1068" spans="1:75" ht="13.5" customHeight="1" x14ac:dyDescent="0.25">
      <c r="A1068" s="2" t="s">
        <v>1908</v>
      </c>
      <c r="B1068" s="3" t="s">
        <v>1909</v>
      </c>
      <c r="C1068" s="83" t="s">
        <v>1910</v>
      </c>
      <c r="D1068" s="80"/>
      <c r="E1068" s="3" t="s">
        <v>137</v>
      </c>
      <c r="F1068" s="28">
        <v>1</v>
      </c>
      <c r="G1068" s="28">
        <v>0</v>
      </c>
      <c r="H1068" s="28">
        <f t="shared" si="0"/>
        <v>0</v>
      </c>
      <c r="I1068" s="28">
        <f t="shared" si="1"/>
        <v>0</v>
      </c>
      <c r="J1068" s="28">
        <f t="shared" si="2"/>
        <v>0</v>
      </c>
      <c r="K1068" s="29" t="s">
        <v>61</v>
      </c>
      <c r="Z1068" s="28">
        <f t="shared" si="3"/>
        <v>0</v>
      </c>
      <c r="AB1068" s="28">
        <f t="shared" si="4"/>
        <v>0</v>
      </c>
      <c r="AC1068" s="28">
        <f t="shared" si="5"/>
        <v>0</v>
      </c>
      <c r="AD1068" s="28">
        <f t="shared" si="6"/>
        <v>0</v>
      </c>
      <c r="AE1068" s="28">
        <f t="shared" si="7"/>
        <v>0</v>
      </c>
      <c r="AF1068" s="28">
        <f t="shared" si="8"/>
        <v>0</v>
      </c>
      <c r="AG1068" s="28">
        <f t="shared" si="9"/>
        <v>0</v>
      </c>
      <c r="AH1068" s="28">
        <f t="shared" si="10"/>
        <v>0</v>
      </c>
      <c r="AI1068" s="10" t="s">
        <v>1875</v>
      </c>
      <c r="AJ1068" s="28">
        <f t="shared" si="11"/>
        <v>0</v>
      </c>
      <c r="AK1068" s="28">
        <f t="shared" si="12"/>
        <v>0</v>
      </c>
      <c r="AL1068" s="28">
        <f t="shared" si="13"/>
        <v>0</v>
      </c>
      <c r="AN1068" s="28">
        <v>21</v>
      </c>
      <c r="AO1068" s="28">
        <f t="shared" si="14"/>
        <v>0</v>
      </c>
      <c r="AP1068" s="28">
        <f t="shared" si="15"/>
        <v>0</v>
      </c>
      <c r="AQ1068" s="30" t="s">
        <v>57</v>
      </c>
      <c r="AV1068" s="28">
        <f t="shared" si="16"/>
        <v>0</v>
      </c>
      <c r="AW1068" s="28">
        <f t="shared" si="17"/>
        <v>0</v>
      </c>
      <c r="AX1068" s="28">
        <f t="shared" si="18"/>
        <v>0</v>
      </c>
      <c r="AY1068" s="30" t="s">
        <v>1894</v>
      </c>
      <c r="AZ1068" s="30" t="s">
        <v>1895</v>
      </c>
      <c r="BA1068" s="10" t="s">
        <v>1881</v>
      </c>
      <c r="BC1068" s="28">
        <f t="shared" si="19"/>
        <v>0</v>
      </c>
      <c r="BD1068" s="28">
        <f t="shared" si="20"/>
        <v>0</v>
      </c>
      <c r="BE1068" s="28">
        <v>0</v>
      </c>
      <c r="BF1068" s="28">
        <f>1068</f>
        <v>1068</v>
      </c>
      <c r="BH1068" s="28">
        <f t="shared" si="21"/>
        <v>0</v>
      </c>
      <c r="BI1068" s="28">
        <f t="shared" si="22"/>
        <v>0</v>
      </c>
      <c r="BJ1068" s="28">
        <f t="shared" si="23"/>
        <v>0</v>
      </c>
      <c r="BK1068" s="28"/>
      <c r="BL1068" s="28">
        <v>3</v>
      </c>
      <c r="BW1068" s="28">
        <v>21</v>
      </c>
    </row>
    <row r="1069" spans="1:75" ht="13.5" customHeight="1" x14ac:dyDescent="0.25">
      <c r="A1069" s="2" t="s">
        <v>1911</v>
      </c>
      <c r="B1069" s="3" t="s">
        <v>1912</v>
      </c>
      <c r="C1069" s="83" t="s">
        <v>1913</v>
      </c>
      <c r="D1069" s="80"/>
      <c r="E1069" s="3" t="s">
        <v>78</v>
      </c>
      <c r="F1069" s="28">
        <v>3</v>
      </c>
      <c r="G1069" s="28">
        <v>0</v>
      </c>
      <c r="H1069" s="28">
        <f t="shared" si="0"/>
        <v>0</v>
      </c>
      <c r="I1069" s="28">
        <f t="shared" si="1"/>
        <v>0</v>
      </c>
      <c r="J1069" s="28">
        <f t="shared" si="2"/>
        <v>0</v>
      </c>
      <c r="K1069" s="29" t="s">
        <v>61</v>
      </c>
      <c r="Z1069" s="28">
        <f t="shared" si="3"/>
        <v>0</v>
      </c>
      <c r="AB1069" s="28">
        <f t="shared" si="4"/>
        <v>0</v>
      </c>
      <c r="AC1069" s="28">
        <f t="shared" si="5"/>
        <v>0</v>
      </c>
      <c r="AD1069" s="28">
        <f t="shared" si="6"/>
        <v>0</v>
      </c>
      <c r="AE1069" s="28">
        <f t="shared" si="7"/>
        <v>0</v>
      </c>
      <c r="AF1069" s="28">
        <f t="shared" si="8"/>
        <v>0</v>
      </c>
      <c r="AG1069" s="28">
        <f t="shared" si="9"/>
        <v>0</v>
      </c>
      <c r="AH1069" s="28">
        <f t="shared" si="10"/>
        <v>0</v>
      </c>
      <c r="AI1069" s="10" t="s">
        <v>1875</v>
      </c>
      <c r="AJ1069" s="28">
        <f t="shared" si="11"/>
        <v>0</v>
      </c>
      <c r="AK1069" s="28">
        <f t="shared" si="12"/>
        <v>0</v>
      </c>
      <c r="AL1069" s="28">
        <f t="shared" si="13"/>
        <v>0</v>
      </c>
      <c r="AN1069" s="28">
        <v>21</v>
      </c>
      <c r="AO1069" s="28">
        <f t="shared" si="14"/>
        <v>0</v>
      </c>
      <c r="AP1069" s="28">
        <f t="shared" si="15"/>
        <v>0</v>
      </c>
      <c r="AQ1069" s="30" t="s">
        <v>57</v>
      </c>
      <c r="AV1069" s="28">
        <f t="shared" si="16"/>
        <v>0</v>
      </c>
      <c r="AW1069" s="28">
        <f t="shared" si="17"/>
        <v>0</v>
      </c>
      <c r="AX1069" s="28">
        <f t="shared" si="18"/>
        <v>0</v>
      </c>
      <c r="AY1069" s="30" t="s">
        <v>1894</v>
      </c>
      <c r="AZ1069" s="30" t="s">
        <v>1895</v>
      </c>
      <c r="BA1069" s="10" t="s">
        <v>1881</v>
      </c>
      <c r="BC1069" s="28">
        <f t="shared" si="19"/>
        <v>0</v>
      </c>
      <c r="BD1069" s="28">
        <f t="shared" si="20"/>
        <v>0</v>
      </c>
      <c r="BE1069" s="28">
        <v>0</v>
      </c>
      <c r="BF1069" s="28">
        <f>1069</f>
        <v>1069</v>
      </c>
      <c r="BH1069" s="28">
        <f t="shared" si="21"/>
        <v>0</v>
      </c>
      <c r="BI1069" s="28">
        <f t="shared" si="22"/>
        <v>0</v>
      </c>
      <c r="BJ1069" s="28">
        <f t="shared" si="23"/>
        <v>0</v>
      </c>
      <c r="BK1069" s="28"/>
      <c r="BL1069" s="28">
        <v>3</v>
      </c>
      <c r="BW1069" s="28">
        <v>21</v>
      </c>
    </row>
    <row r="1070" spans="1:75" ht="13.5" customHeight="1" x14ac:dyDescent="0.25">
      <c r="A1070" s="2" t="s">
        <v>1914</v>
      </c>
      <c r="B1070" s="3" t="s">
        <v>1915</v>
      </c>
      <c r="C1070" s="83" t="s">
        <v>1916</v>
      </c>
      <c r="D1070" s="80"/>
      <c r="E1070" s="3" t="s">
        <v>148</v>
      </c>
      <c r="F1070" s="28">
        <v>8</v>
      </c>
      <c r="G1070" s="28">
        <v>0</v>
      </c>
      <c r="H1070" s="28">
        <f t="shared" si="0"/>
        <v>0</v>
      </c>
      <c r="I1070" s="28">
        <f t="shared" si="1"/>
        <v>0</v>
      </c>
      <c r="J1070" s="28">
        <f t="shared" si="2"/>
        <v>0</v>
      </c>
      <c r="K1070" s="29" t="s">
        <v>61</v>
      </c>
      <c r="Z1070" s="28">
        <f t="shared" si="3"/>
        <v>0</v>
      </c>
      <c r="AB1070" s="28">
        <f t="shared" si="4"/>
        <v>0</v>
      </c>
      <c r="AC1070" s="28">
        <f t="shared" si="5"/>
        <v>0</v>
      </c>
      <c r="AD1070" s="28">
        <f t="shared" si="6"/>
        <v>0</v>
      </c>
      <c r="AE1070" s="28">
        <f t="shared" si="7"/>
        <v>0</v>
      </c>
      <c r="AF1070" s="28">
        <f t="shared" si="8"/>
        <v>0</v>
      </c>
      <c r="AG1070" s="28">
        <f t="shared" si="9"/>
        <v>0</v>
      </c>
      <c r="AH1070" s="28">
        <f t="shared" si="10"/>
        <v>0</v>
      </c>
      <c r="AI1070" s="10" t="s">
        <v>1875</v>
      </c>
      <c r="AJ1070" s="28">
        <f t="shared" si="11"/>
        <v>0</v>
      </c>
      <c r="AK1070" s="28">
        <f t="shared" si="12"/>
        <v>0</v>
      </c>
      <c r="AL1070" s="28">
        <f t="shared" si="13"/>
        <v>0</v>
      </c>
      <c r="AN1070" s="28">
        <v>21</v>
      </c>
      <c r="AO1070" s="28">
        <f t="shared" si="14"/>
        <v>0</v>
      </c>
      <c r="AP1070" s="28">
        <f t="shared" si="15"/>
        <v>0</v>
      </c>
      <c r="AQ1070" s="30" t="s">
        <v>57</v>
      </c>
      <c r="AV1070" s="28">
        <f t="shared" si="16"/>
        <v>0</v>
      </c>
      <c r="AW1070" s="28">
        <f t="shared" si="17"/>
        <v>0</v>
      </c>
      <c r="AX1070" s="28">
        <f t="shared" si="18"/>
        <v>0</v>
      </c>
      <c r="AY1070" s="30" t="s">
        <v>1894</v>
      </c>
      <c r="AZ1070" s="30" t="s">
        <v>1895</v>
      </c>
      <c r="BA1070" s="10" t="s">
        <v>1881</v>
      </c>
      <c r="BC1070" s="28">
        <f t="shared" si="19"/>
        <v>0</v>
      </c>
      <c r="BD1070" s="28">
        <f t="shared" si="20"/>
        <v>0</v>
      </c>
      <c r="BE1070" s="28">
        <v>0</v>
      </c>
      <c r="BF1070" s="28">
        <f>1070</f>
        <v>1070</v>
      </c>
      <c r="BH1070" s="28">
        <f t="shared" si="21"/>
        <v>0</v>
      </c>
      <c r="BI1070" s="28">
        <f t="shared" si="22"/>
        <v>0</v>
      </c>
      <c r="BJ1070" s="28">
        <f t="shared" si="23"/>
        <v>0</v>
      </c>
      <c r="BK1070" s="28"/>
      <c r="BL1070" s="28">
        <v>3</v>
      </c>
      <c r="BW1070" s="28">
        <v>21</v>
      </c>
    </row>
    <row r="1071" spans="1:75" ht="13.5" customHeight="1" x14ac:dyDescent="0.25">
      <c r="A1071" s="2" t="s">
        <v>1917</v>
      </c>
      <c r="B1071" s="3" t="s">
        <v>1918</v>
      </c>
      <c r="C1071" s="83" t="s">
        <v>1919</v>
      </c>
      <c r="D1071" s="80"/>
      <c r="E1071" s="3" t="s">
        <v>148</v>
      </c>
      <c r="F1071" s="28">
        <v>1</v>
      </c>
      <c r="G1071" s="28">
        <v>0</v>
      </c>
      <c r="H1071" s="28">
        <f t="shared" si="0"/>
        <v>0</v>
      </c>
      <c r="I1071" s="28">
        <f t="shared" si="1"/>
        <v>0</v>
      </c>
      <c r="J1071" s="28">
        <f t="shared" si="2"/>
        <v>0</v>
      </c>
      <c r="K1071" s="29" t="s">
        <v>61</v>
      </c>
      <c r="Z1071" s="28">
        <f t="shared" si="3"/>
        <v>0</v>
      </c>
      <c r="AB1071" s="28">
        <f t="shared" si="4"/>
        <v>0</v>
      </c>
      <c r="AC1071" s="28">
        <f t="shared" si="5"/>
        <v>0</v>
      </c>
      <c r="AD1071" s="28">
        <f t="shared" si="6"/>
        <v>0</v>
      </c>
      <c r="AE1071" s="28">
        <f t="shared" si="7"/>
        <v>0</v>
      </c>
      <c r="AF1071" s="28">
        <f t="shared" si="8"/>
        <v>0</v>
      </c>
      <c r="AG1071" s="28">
        <f t="shared" si="9"/>
        <v>0</v>
      </c>
      <c r="AH1071" s="28">
        <f t="shared" si="10"/>
        <v>0</v>
      </c>
      <c r="AI1071" s="10" t="s">
        <v>1875</v>
      </c>
      <c r="AJ1071" s="28">
        <f t="shared" si="11"/>
        <v>0</v>
      </c>
      <c r="AK1071" s="28">
        <f t="shared" si="12"/>
        <v>0</v>
      </c>
      <c r="AL1071" s="28">
        <f t="shared" si="13"/>
        <v>0</v>
      </c>
      <c r="AN1071" s="28">
        <v>21</v>
      </c>
      <c r="AO1071" s="28">
        <f t="shared" si="14"/>
        <v>0</v>
      </c>
      <c r="AP1071" s="28">
        <f t="shared" si="15"/>
        <v>0</v>
      </c>
      <c r="AQ1071" s="30" t="s">
        <v>57</v>
      </c>
      <c r="AV1071" s="28">
        <f t="shared" si="16"/>
        <v>0</v>
      </c>
      <c r="AW1071" s="28">
        <f t="shared" si="17"/>
        <v>0</v>
      </c>
      <c r="AX1071" s="28">
        <f t="shared" si="18"/>
        <v>0</v>
      </c>
      <c r="AY1071" s="30" t="s">
        <v>1894</v>
      </c>
      <c r="AZ1071" s="30" t="s">
        <v>1895</v>
      </c>
      <c r="BA1071" s="10" t="s">
        <v>1881</v>
      </c>
      <c r="BC1071" s="28">
        <f t="shared" si="19"/>
        <v>0</v>
      </c>
      <c r="BD1071" s="28">
        <f t="shared" si="20"/>
        <v>0</v>
      </c>
      <c r="BE1071" s="28">
        <v>0</v>
      </c>
      <c r="BF1071" s="28">
        <f>1071</f>
        <v>1071</v>
      </c>
      <c r="BH1071" s="28">
        <f t="shared" si="21"/>
        <v>0</v>
      </c>
      <c r="BI1071" s="28">
        <f t="shared" si="22"/>
        <v>0</v>
      </c>
      <c r="BJ1071" s="28">
        <f t="shared" si="23"/>
        <v>0</v>
      </c>
      <c r="BK1071" s="28"/>
      <c r="BL1071" s="28">
        <v>3</v>
      </c>
      <c r="BW1071" s="28">
        <v>21</v>
      </c>
    </row>
    <row r="1072" spans="1:75" ht="13.5" customHeight="1" x14ac:dyDescent="0.25">
      <c r="A1072" s="2" t="s">
        <v>1920</v>
      </c>
      <c r="B1072" s="3" t="s">
        <v>1921</v>
      </c>
      <c r="C1072" s="83" t="s">
        <v>1922</v>
      </c>
      <c r="D1072" s="80"/>
      <c r="E1072" s="3" t="s">
        <v>1869</v>
      </c>
      <c r="F1072" s="28">
        <v>11</v>
      </c>
      <c r="G1072" s="28">
        <v>0</v>
      </c>
      <c r="H1072" s="28">
        <f t="shared" si="0"/>
        <v>0</v>
      </c>
      <c r="I1072" s="28">
        <f t="shared" si="1"/>
        <v>0</v>
      </c>
      <c r="J1072" s="28">
        <f t="shared" si="2"/>
        <v>0</v>
      </c>
      <c r="K1072" s="29" t="s">
        <v>52</v>
      </c>
      <c r="Z1072" s="28">
        <f t="shared" si="3"/>
        <v>0</v>
      </c>
      <c r="AB1072" s="28">
        <f t="shared" si="4"/>
        <v>0</v>
      </c>
      <c r="AC1072" s="28">
        <f t="shared" si="5"/>
        <v>0</v>
      </c>
      <c r="AD1072" s="28">
        <f t="shared" si="6"/>
        <v>0</v>
      </c>
      <c r="AE1072" s="28">
        <f t="shared" si="7"/>
        <v>0</v>
      </c>
      <c r="AF1072" s="28">
        <f t="shared" si="8"/>
        <v>0</v>
      </c>
      <c r="AG1072" s="28">
        <f t="shared" si="9"/>
        <v>0</v>
      </c>
      <c r="AH1072" s="28">
        <f t="shared" si="10"/>
        <v>0</v>
      </c>
      <c r="AI1072" s="10" t="s">
        <v>1875</v>
      </c>
      <c r="AJ1072" s="28">
        <f t="shared" si="11"/>
        <v>0</v>
      </c>
      <c r="AK1072" s="28">
        <f t="shared" si="12"/>
        <v>0</v>
      </c>
      <c r="AL1072" s="28">
        <f t="shared" si="13"/>
        <v>0</v>
      </c>
      <c r="AN1072" s="28">
        <v>21</v>
      </c>
      <c r="AO1072" s="28">
        <f>G1072*0</f>
        <v>0</v>
      </c>
      <c r="AP1072" s="28">
        <f>G1072*(1-0)</f>
        <v>0</v>
      </c>
      <c r="AQ1072" s="30" t="s">
        <v>57</v>
      </c>
      <c r="AV1072" s="28">
        <f t="shared" si="16"/>
        <v>0</v>
      </c>
      <c r="AW1072" s="28">
        <f t="shared" si="17"/>
        <v>0</v>
      </c>
      <c r="AX1072" s="28">
        <f t="shared" si="18"/>
        <v>0</v>
      </c>
      <c r="AY1072" s="30" t="s">
        <v>1894</v>
      </c>
      <c r="AZ1072" s="30" t="s">
        <v>1895</v>
      </c>
      <c r="BA1072" s="10" t="s">
        <v>1881</v>
      </c>
      <c r="BC1072" s="28">
        <f t="shared" si="19"/>
        <v>0</v>
      </c>
      <c r="BD1072" s="28">
        <f t="shared" si="20"/>
        <v>0</v>
      </c>
      <c r="BE1072" s="28">
        <v>0</v>
      </c>
      <c r="BF1072" s="28">
        <f>1072</f>
        <v>1072</v>
      </c>
      <c r="BH1072" s="28">
        <f t="shared" si="21"/>
        <v>0</v>
      </c>
      <c r="BI1072" s="28">
        <f t="shared" si="22"/>
        <v>0</v>
      </c>
      <c r="BJ1072" s="28">
        <f t="shared" si="23"/>
        <v>0</v>
      </c>
      <c r="BK1072" s="28"/>
      <c r="BL1072" s="28">
        <v>3</v>
      </c>
      <c r="BW1072" s="28">
        <v>21</v>
      </c>
    </row>
    <row r="1073" spans="1:75" ht="13.5" customHeight="1" x14ac:dyDescent="0.25">
      <c r="A1073" s="2" t="s">
        <v>1923</v>
      </c>
      <c r="B1073" s="3" t="s">
        <v>1924</v>
      </c>
      <c r="C1073" s="83" t="s">
        <v>1925</v>
      </c>
      <c r="D1073" s="80"/>
      <c r="E1073" s="3" t="s">
        <v>531</v>
      </c>
      <c r="F1073" s="28">
        <v>1</v>
      </c>
      <c r="G1073" s="28">
        <v>0</v>
      </c>
      <c r="H1073" s="28">
        <f t="shared" si="0"/>
        <v>0</v>
      </c>
      <c r="I1073" s="28">
        <f t="shared" si="1"/>
        <v>0</v>
      </c>
      <c r="J1073" s="28">
        <f t="shared" si="2"/>
        <v>0</v>
      </c>
      <c r="K1073" s="29" t="s">
        <v>52</v>
      </c>
      <c r="Z1073" s="28">
        <f t="shared" si="3"/>
        <v>0</v>
      </c>
      <c r="AB1073" s="28">
        <f t="shared" si="4"/>
        <v>0</v>
      </c>
      <c r="AC1073" s="28">
        <f t="shared" si="5"/>
        <v>0</v>
      </c>
      <c r="AD1073" s="28">
        <f t="shared" si="6"/>
        <v>0</v>
      </c>
      <c r="AE1073" s="28">
        <f t="shared" si="7"/>
        <v>0</v>
      </c>
      <c r="AF1073" s="28">
        <f t="shared" si="8"/>
        <v>0</v>
      </c>
      <c r="AG1073" s="28">
        <f t="shared" si="9"/>
        <v>0</v>
      </c>
      <c r="AH1073" s="28">
        <f t="shared" si="10"/>
        <v>0</v>
      </c>
      <c r="AI1073" s="10" t="s">
        <v>1875</v>
      </c>
      <c r="AJ1073" s="28">
        <f t="shared" si="11"/>
        <v>0</v>
      </c>
      <c r="AK1073" s="28">
        <f t="shared" si="12"/>
        <v>0</v>
      </c>
      <c r="AL1073" s="28">
        <f t="shared" si="13"/>
        <v>0</v>
      </c>
      <c r="AN1073" s="28">
        <v>21</v>
      </c>
      <c r="AO1073" s="28">
        <f>G1073*0.589406693</f>
        <v>0</v>
      </c>
      <c r="AP1073" s="28">
        <f>G1073*(1-0.589406693)</f>
        <v>0</v>
      </c>
      <c r="AQ1073" s="30" t="s">
        <v>57</v>
      </c>
      <c r="AV1073" s="28">
        <f t="shared" si="16"/>
        <v>0</v>
      </c>
      <c r="AW1073" s="28">
        <f t="shared" si="17"/>
        <v>0</v>
      </c>
      <c r="AX1073" s="28">
        <f t="shared" si="18"/>
        <v>0</v>
      </c>
      <c r="AY1073" s="30" t="s">
        <v>1894</v>
      </c>
      <c r="AZ1073" s="30" t="s">
        <v>1895</v>
      </c>
      <c r="BA1073" s="10" t="s">
        <v>1881</v>
      </c>
      <c r="BC1073" s="28">
        <f t="shared" si="19"/>
        <v>0</v>
      </c>
      <c r="BD1073" s="28">
        <f t="shared" si="20"/>
        <v>0</v>
      </c>
      <c r="BE1073" s="28">
        <v>0</v>
      </c>
      <c r="BF1073" s="28">
        <f>1073</f>
        <v>1073</v>
      </c>
      <c r="BH1073" s="28">
        <f t="shared" si="21"/>
        <v>0</v>
      </c>
      <c r="BI1073" s="28">
        <f t="shared" si="22"/>
        <v>0</v>
      </c>
      <c r="BJ1073" s="28">
        <f t="shared" si="23"/>
        <v>0</v>
      </c>
      <c r="BK1073" s="28"/>
      <c r="BL1073" s="28">
        <v>3</v>
      </c>
      <c r="BW1073" s="28">
        <v>21</v>
      </c>
    </row>
    <row r="1074" spans="1:75" x14ac:dyDescent="0.25">
      <c r="A1074" s="24" t="s">
        <v>52</v>
      </c>
      <c r="B1074" s="25" t="s">
        <v>84</v>
      </c>
      <c r="C1074" s="139" t="s">
        <v>1546</v>
      </c>
      <c r="D1074" s="140"/>
      <c r="E1074" s="26" t="s">
        <v>4</v>
      </c>
      <c r="F1074" s="26" t="s">
        <v>4</v>
      </c>
      <c r="G1074" s="26" t="s">
        <v>4</v>
      </c>
      <c r="H1074" s="1">
        <f>SUM(H1075:H1084)</f>
        <v>0</v>
      </c>
      <c r="I1074" s="1">
        <f>SUM(I1075:I1084)</f>
        <v>0</v>
      </c>
      <c r="J1074" s="1">
        <f>SUM(J1075:J1084)</f>
        <v>0</v>
      </c>
      <c r="K1074" s="27" t="s">
        <v>52</v>
      </c>
      <c r="AI1074" s="10" t="s">
        <v>1875</v>
      </c>
      <c r="AS1074" s="1">
        <f>SUM(AJ1075:AJ1084)</f>
        <v>0</v>
      </c>
      <c r="AT1074" s="1">
        <f>SUM(AK1075:AK1084)</f>
        <v>0</v>
      </c>
      <c r="AU1074" s="1">
        <f>SUM(AL1075:AL1084)</f>
        <v>0</v>
      </c>
    </row>
    <row r="1075" spans="1:75" ht="13.5" customHeight="1" x14ac:dyDescent="0.25">
      <c r="A1075" s="2" t="s">
        <v>1926</v>
      </c>
      <c r="B1075" s="3" t="s">
        <v>1927</v>
      </c>
      <c r="C1075" s="83" t="s">
        <v>1928</v>
      </c>
      <c r="D1075" s="80"/>
      <c r="E1075" s="3" t="s">
        <v>137</v>
      </c>
      <c r="F1075" s="28">
        <v>1</v>
      </c>
      <c r="G1075" s="28">
        <v>0</v>
      </c>
      <c r="H1075" s="28">
        <f t="shared" ref="H1075:H1084" si="24">F1075*AO1075</f>
        <v>0</v>
      </c>
      <c r="I1075" s="28">
        <f t="shared" ref="I1075:I1084" si="25">F1075*AP1075</f>
        <v>0</v>
      </c>
      <c r="J1075" s="28">
        <f t="shared" ref="J1075:J1084" si="26">F1075*G1075</f>
        <v>0</v>
      </c>
      <c r="K1075" s="29" t="s">
        <v>1904</v>
      </c>
      <c r="Z1075" s="28">
        <f t="shared" ref="Z1075:Z1084" si="27">IF(AQ1075="5",BJ1075,0)</f>
        <v>0</v>
      </c>
      <c r="AB1075" s="28">
        <f t="shared" ref="AB1075:AB1084" si="28">IF(AQ1075="1",BH1075,0)</f>
        <v>0</v>
      </c>
      <c r="AC1075" s="28">
        <f t="shared" ref="AC1075:AC1084" si="29">IF(AQ1075="1",BI1075,0)</f>
        <v>0</v>
      </c>
      <c r="AD1075" s="28">
        <f t="shared" ref="AD1075:AD1084" si="30">IF(AQ1075="7",BH1075,0)</f>
        <v>0</v>
      </c>
      <c r="AE1075" s="28">
        <f t="shared" ref="AE1075:AE1084" si="31">IF(AQ1075="7",BI1075,0)</f>
        <v>0</v>
      </c>
      <c r="AF1075" s="28">
        <f t="shared" ref="AF1075:AF1084" si="32">IF(AQ1075="2",BH1075,0)</f>
        <v>0</v>
      </c>
      <c r="AG1075" s="28">
        <f t="shared" ref="AG1075:AG1084" si="33">IF(AQ1075="2",BI1075,0)</f>
        <v>0</v>
      </c>
      <c r="AH1075" s="28">
        <f t="shared" ref="AH1075:AH1084" si="34">IF(AQ1075="0",BJ1075,0)</f>
        <v>0</v>
      </c>
      <c r="AI1075" s="10" t="s">
        <v>1875</v>
      </c>
      <c r="AJ1075" s="28">
        <f t="shared" ref="AJ1075:AJ1084" si="35">IF(AN1075=0,J1075,0)</f>
        <v>0</v>
      </c>
      <c r="AK1075" s="28">
        <f t="shared" ref="AK1075:AK1084" si="36">IF(AN1075=12,J1075,0)</f>
        <v>0</v>
      </c>
      <c r="AL1075" s="28">
        <f t="shared" ref="AL1075:AL1084" si="37">IF(AN1075=21,J1075,0)</f>
        <v>0</v>
      </c>
      <c r="AN1075" s="28">
        <v>21</v>
      </c>
      <c r="AO1075" s="28">
        <f t="shared" ref="AO1075:AO1082" si="38">G1075*1</f>
        <v>0</v>
      </c>
      <c r="AP1075" s="28">
        <f t="shared" ref="AP1075:AP1082" si="39">G1075*(1-1)</f>
        <v>0</v>
      </c>
      <c r="AQ1075" s="30" t="s">
        <v>57</v>
      </c>
      <c r="AV1075" s="28">
        <f t="shared" ref="AV1075:AV1084" si="40">AW1075+AX1075</f>
        <v>0</v>
      </c>
      <c r="AW1075" s="28">
        <f t="shared" ref="AW1075:AW1084" si="41">F1075*AO1075</f>
        <v>0</v>
      </c>
      <c r="AX1075" s="28">
        <f t="shared" ref="AX1075:AX1084" si="42">F1075*AP1075</f>
        <v>0</v>
      </c>
      <c r="AY1075" s="30" t="s">
        <v>1551</v>
      </c>
      <c r="AZ1075" s="30" t="s">
        <v>1929</v>
      </c>
      <c r="BA1075" s="10" t="s">
        <v>1881</v>
      </c>
      <c r="BC1075" s="28">
        <f t="shared" ref="BC1075:BC1084" si="43">AW1075+AX1075</f>
        <v>0</v>
      </c>
      <c r="BD1075" s="28">
        <f t="shared" ref="BD1075:BD1084" si="44">G1075/(100-BE1075)*100</f>
        <v>0</v>
      </c>
      <c r="BE1075" s="28">
        <v>0</v>
      </c>
      <c r="BF1075" s="28">
        <f>1075</f>
        <v>1075</v>
      </c>
      <c r="BH1075" s="28">
        <f t="shared" ref="BH1075:BH1084" si="45">F1075*AO1075</f>
        <v>0</v>
      </c>
      <c r="BI1075" s="28">
        <f t="shared" ref="BI1075:BI1084" si="46">F1075*AP1075</f>
        <v>0</v>
      </c>
      <c r="BJ1075" s="28">
        <f t="shared" ref="BJ1075:BJ1084" si="47">F1075*G1075</f>
        <v>0</v>
      </c>
      <c r="BK1075" s="28"/>
      <c r="BL1075" s="28">
        <v>4</v>
      </c>
      <c r="BW1075" s="28">
        <v>21</v>
      </c>
    </row>
    <row r="1076" spans="1:75" ht="13.5" customHeight="1" x14ac:dyDescent="0.25">
      <c r="A1076" s="2" t="s">
        <v>1930</v>
      </c>
      <c r="B1076" s="3" t="s">
        <v>1931</v>
      </c>
      <c r="C1076" s="83" t="s">
        <v>1932</v>
      </c>
      <c r="D1076" s="80"/>
      <c r="E1076" s="3" t="s">
        <v>137</v>
      </c>
      <c r="F1076" s="28">
        <v>1</v>
      </c>
      <c r="G1076" s="28">
        <v>0</v>
      </c>
      <c r="H1076" s="28">
        <f t="shared" si="24"/>
        <v>0</v>
      </c>
      <c r="I1076" s="28">
        <f t="shared" si="25"/>
        <v>0</v>
      </c>
      <c r="J1076" s="28">
        <f t="shared" si="26"/>
        <v>0</v>
      </c>
      <c r="K1076" s="29" t="s">
        <v>1904</v>
      </c>
      <c r="Z1076" s="28">
        <f t="shared" si="27"/>
        <v>0</v>
      </c>
      <c r="AB1076" s="28">
        <f t="shared" si="28"/>
        <v>0</v>
      </c>
      <c r="AC1076" s="28">
        <f t="shared" si="29"/>
        <v>0</v>
      </c>
      <c r="AD1076" s="28">
        <f t="shared" si="30"/>
        <v>0</v>
      </c>
      <c r="AE1076" s="28">
        <f t="shared" si="31"/>
        <v>0</v>
      </c>
      <c r="AF1076" s="28">
        <f t="shared" si="32"/>
        <v>0</v>
      </c>
      <c r="AG1076" s="28">
        <f t="shared" si="33"/>
        <v>0</v>
      </c>
      <c r="AH1076" s="28">
        <f t="shared" si="34"/>
        <v>0</v>
      </c>
      <c r="AI1076" s="10" t="s">
        <v>1875</v>
      </c>
      <c r="AJ1076" s="28">
        <f t="shared" si="35"/>
        <v>0</v>
      </c>
      <c r="AK1076" s="28">
        <f t="shared" si="36"/>
        <v>0</v>
      </c>
      <c r="AL1076" s="28">
        <f t="shared" si="37"/>
        <v>0</v>
      </c>
      <c r="AN1076" s="28">
        <v>21</v>
      </c>
      <c r="AO1076" s="28">
        <f t="shared" si="38"/>
        <v>0</v>
      </c>
      <c r="AP1076" s="28">
        <f t="shared" si="39"/>
        <v>0</v>
      </c>
      <c r="AQ1076" s="30" t="s">
        <v>57</v>
      </c>
      <c r="AV1076" s="28">
        <f t="shared" si="40"/>
        <v>0</v>
      </c>
      <c r="AW1076" s="28">
        <f t="shared" si="41"/>
        <v>0</v>
      </c>
      <c r="AX1076" s="28">
        <f t="shared" si="42"/>
        <v>0</v>
      </c>
      <c r="AY1076" s="30" t="s">
        <v>1551</v>
      </c>
      <c r="AZ1076" s="30" t="s">
        <v>1929</v>
      </c>
      <c r="BA1076" s="10" t="s">
        <v>1881</v>
      </c>
      <c r="BC1076" s="28">
        <f t="shared" si="43"/>
        <v>0</v>
      </c>
      <c r="BD1076" s="28">
        <f t="shared" si="44"/>
        <v>0</v>
      </c>
      <c r="BE1076" s="28">
        <v>0</v>
      </c>
      <c r="BF1076" s="28">
        <f>1076</f>
        <v>1076</v>
      </c>
      <c r="BH1076" s="28">
        <f t="shared" si="45"/>
        <v>0</v>
      </c>
      <c r="BI1076" s="28">
        <f t="shared" si="46"/>
        <v>0</v>
      </c>
      <c r="BJ1076" s="28">
        <f t="shared" si="47"/>
        <v>0</v>
      </c>
      <c r="BK1076" s="28"/>
      <c r="BL1076" s="28">
        <v>4</v>
      </c>
      <c r="BW1076" s="28">
        <v>21</v>
      </c>
    </row>
    <row r="1077" spans="1:75" ht="13.5" customHeight="1" x14ac:dyDescent="0.25">
      <c r="A1077" s="2" t="s">
        <v>1933</v>
      </c>
      <c r="B1077" s="3" t="s">
        <v>1934</v>
      </c>
      <c r="C1077" s="83" t="s">
        <v>1935</v>
      </c>
      <c r="D1077" s="80"/>
      <c r="E1077" s="3" t="s">
        <v>137</v>
      </c>
      <c r="F1077" s="28">
        <v>1</v>
      </c>
      <c r="G1077" s="28">
        <v>0</v>
      </c>
      <c r="H1077" s="28">
        <f t="shared" si="24"/>
        <v>0</v>
      </c>
      <c r="I1077" s="28">
        <f t="shared" si="25"/>
        <v>0</v>
      </c>
      <c r="J1077" s="28">
        <f t="shared" si="26"/>
        <v>0</v>
      </c>
      <c r="K1077" s="29" t="s">
        <v>1904</v>
      </c>
      <c r="Z1077" s="28">
        <f t="shared" si="27"/>
        <v>0</v>
      </c>
      <c r="AB1077" s="28">
        <f t="shared" si="28"/>
        <v>0</v>
      </c>
      <c r="AC1077" s="28">
        <f t="shared" si="29"/>
        <v>0</v>
      </c>
      <c r="AD1077" s="28">
        <f t="shared" si="30"/>
        <v>0</v>
      </c>
      <c r="AE1077" s="28">
        <f t="shared" si="31"/>
        <v>0</v>
      </c>
      <c r="AF1077" s="28">
        <f t="shared" si="32"/>
        <v>0</v>
      </c>
      <c r="AG1077" s="28">
        <f t="shared" si="33"/>
        <v>0</v>
      </c>
      <c r="AH1077" s="28">
        <f t="shared" si="34"/>
        <v>0</v>
      </c>
      <c r="AI1077" s="10" t="s">
        <v>1875</v>
      </c>
      <c r="AJ1077" s="28">
        <f t="shared" si="35"/>
        <v>0</v>
      </c>
      <c r="AK1077" s="28">
        <f t="shared" si="36"/>
        <v>0</v>
      </c>
      <c r="AL1077" s="28">
        <f t="shared" si="37"/>
        <v>0</v>
      </c>
      <c r="AN1077" s="28">
        <v>21</v>
      </c>
      <c r="AO1077" s="28">
        <f t="shared" si="38"/>
        <v>0</v>
      </c>
      <c r="AP1077" s="28">
        <f t="shared" si="39"/>
        <v>0</v>
      </c>
      <c r="AQ1077" s="30" t="s">
        <v>57</v>
      </c>
      <c r="AV1077" s="28">
        <f t="shared" si="40"/>
        <v>0</v>
      </c>
      <c r="AW1077" s="28">
        <f t="shared" si="41"/>
        <v>0</v>
      </c>
      <c r="AX1077" s="28">
        <f t="shared" si="42"/>
        <v>0</v>
      </c>
      <c r="AY1077" s="30" t="s">
        <v>1551</v>
      </c>
      <c r="AZ1077" s="30" t="s">
        <v>1929</v>
      </c>
      <c r="BA1077" s="10" t="s">
        <v>1881</v>
      </c>
      <c r="BC1077" s="28">
        <f t="shared" si="43"/>
        <v>0</v>
      </c>
      <c r="BD1077" s="28">
        <f t="shared" si="44"/>
        <v>0</v>
      </c>
      <c r="BE1077" s="28">
        <v>0</v>
      </c>
      <c r="BF1077" s="28">
        <f>1077</f>
        <v>1077</v>
      </c>
      <c r="BH1077" s="28">
        <f t="shared" si="45"/>
        <v>0</v>
      </c>
      <c r="BI1077" s="28">
        <f t="shared" si="46"/>
        <v>0</v>
      </c>
      <c r="BJ1077" s="28">
        <f t="shared" si="47"/>
        <v>0</v>
      </c>
      <c r="BK1077" s="28"/>
      <c r="BL1077" s="28">
        <v>4</v>
      </c>
      <c r="BW1077" s="28">
        <v>21</v>
      </c>
    </row>
    <row r="1078" spans="1:75" ht="13.5" customHeight="1" x14ac:dyDescent="0.25">
      <c r="A1078" s="2" t="s">
        <v>1936</v>
      </c>
      <c r="B1078" s="3" t="s">
        <v>1937</v>
      </c>
      <c r="C1078" s="83" t="s">
        <v>1938</v>
      </c>
      <c r="D1078" s="80"/>
      <c r="E1078" s="3" t="s">
        <v>137</v>
      </c>
      <c r="F1078" s="28">
        <v>1</v>
      </c>
      <c r="G1078" s="28">
        <v>0</v>
      </c>
      <c r="H1078" s="28">
        <f t="shared" si="24"/>
        <v>0</v>
      </c>
      <c r="I1078" s="28">
        <f t="shared" si="25"/>
        <v>0</v>
      </c>
      <c r="J1078" s="28">
        <f t="shared" si="26"/>
        <v>0</v>
      </c>
      <c r="K1078" s="29" t="s">
        <v>1904</v>
      </c>
      <c r="Z1078" s="28">
        <f t="shared" si="27"/>
        <v>0</v>
      </c>
      <c r="AB1078" s="28">
        <f t="shared" si="28"/>
        <v>0</v>
      </c>
      <c r="AC1078" s="28">
        <f t="shared" si="29"/>
        <v>0</v>
      </c>
      <c r="AD1078" s="28">
        <f t="shared" si="30"/>
        <v>0</v>
      </c>
      <c r="AE1078" s="28">
        <f t="shared" si="31"/>
        <v>0</v>
      </c>
      <c r="AF1078" s="28">
        <f t="shared" si="32"/>
        <v>0</v>
      </c>
      <c r="AG1078" s="28">
        <f t="shared" si="33"/>
        <v>0</v>
      </c>
      <c r="AH1078" s="28">
        <f t="shared" si="34"/>
        <v>0</v>
      </c>
      <c r="AI1078" s="10" t="s">
        <v>1875</v>
      </c>
      <c r="AJ1078" s="28">
        <f t="shared" si="35"/>
        <v>0</v>
      </c>
      <c r="AK1078" s="28">
        <f t="shared" si="36"/>
        <v>0</v>
      </c>
      <c r="AL1078" s="28">
        <f t="shared" si="37"/>
        <v>0</v>
      </c>
      <c r="AN1078" s="28">
        <v>21</v>
      </c>
      <c r="AO1078" s="28">
        <f t="shared" si="38"/>
        <v>0</v>
      </c>
      <c r="AP1078" s="28">
        <f t="shared" si="39"/>
        <v>0</v>
      </c>
      <c r="AQ1078" s="30" t="s">
        <v>57</v>
      </c>
      <c r="AV1078" s="28">
        <f t="shared" si="40"/>
        <v>0</v>
      </c>
      <c r="AW1078" s="28">
        <f t="shared" si="41"/>
        <v>0</v>
      </c>
      <c r="AX1078" s="28">
        <f t="shared" si="42"/>
        <v>0</v>
      </c>
      <c r="AY1078" s="30" t="s">
        <v>1551</v>
      </c>
      <c r="AZ1078" s="30" t="s">
        <v>1929</v>
      </c>
      <c r="BA1078" s="10" t="s">
        <v>1881</v>
      </c>
      <c r="BC1078" s="28">
        <f t="shared" si="43"/>
        <v>0</v>
      </c>
      <c r="BD1078" s="28">
        <f t="shared" si="44"/>
        <v>0</v>
      </c>
      <c r="BE1078" s="28">
        <v>0</v>
      </c>
      <c r="BF1078" s="28">
        <f>1078</f>
        <v>1078</v>
      </c>
      <c r="BH1078" s="28">
        <f t="shared" si="45"/>
        <v>0</v>
      </c>
      <c r="BI1078" s="28">
        <f t="shared" si="46"/>
        <v>0</v>
      </c>
      <c r="BJ1078" s="28">
        <f t="shared" si="47"/>
        <v>0</v>
      </c>
      <c r="BK1078" s="28"/>
      <c r="BL1078" s="28">
        <v>4</v>
      </c>
      <c r="BW1078" s="28">
        <v>21</v>
      </c>
    </row>
    <row r="1079" spans="1:75" ht="13.5" customHeight="1" x14ac:dyDescent="0.25">
      <c r="A1079" s="2" t="s">
        <v>1939</v>
      </c>
      <c r="B1079" s="3" t="s">
        <v>1940</v>
      </c>
      <c r="C1079" s="83" t="s">
        <v>1941</v>
      </c>
      <c r="D1079" s="80"/>
      <c r="E1079" s="3" t="s">
        <v>137</v>
      </c>
      <c r="F1079" s="28">
        <v>1</v>
      </c>
      <c r="G1079" s="28">
        <v>0</v>
      </c>
      <c r="H1079" s="28">
        <f t="shared" si="24"/>
        <v>0</v>
      </c>
      <c r="I1079" s="28">
        <f t="shared" si="25"/>
        <v>0</v>
      </c>
      <c r="J1079" s="28">
        <f t="shared" si="26"/>
        <v>0</v>
      </c>
      <c r="K1079" s="29" t="s">
        <v>61</v>
      </c>
      <c r="Z1079" s="28">
        <f t="shared" si="27"/>
        <v>0</v>
      </c>
      <c r="AB1079" s="28">
        <f t="shared" si="28"/>
        <v>0</v>
      </c>
      <c r="AC1079" s="28">
        <f t="shared" si="29"/>
        <v>0</v>
      </c>
      <c r="AD1079" s="28">
        <f t="shared" si="30"/>
        <v>0</v>
      </c>
      <c r="AE1079" s="28">
        <f t="shared" si="31"/>
        <v>0</v>
      </c>
      <c r="AF1079" s="28">
        <f t="shared" si="32"/>
        <v>0</v>
      </c>
      <c r="AG1079" s="28">
        <f t="shared" si="33"/>
        <v>0</v>
      </c>
      <c r="AH1079" s="28">
        <f t="shared" si="34"/>
        <v>0</v>
      </c>
      <c r="AI1079" s="10" t="s">
        <v>1875</v>
      </c>
      <c r="AJ1079" s="28">
        <f t="shared" si="35"/>
        <v>0</v>
      </c>
      <c r="AK1079" s="28">
        <f t="shared" si="36"/>
        <v>0</v>
      </c>
      <c r="AL1079" s="28">
        <f t="shared" si="37"/>
        <v>0</v>
      </c>
      <c r="AN1079" s="28">
        <v>21</v>
      </c>
      <c r="AO1079" s="28">
        <f t="shared" si="38"/>
        <v>0</v>
      </c>
      <c r="AP1079" s="28">
        <f t="shared" si="39"/>
        <v>0</v>
      </c>
      <c r="AQ1079" s="30" t="s">
        <v>57</v>
      </c>
      <c r="AV1079" s="28">
        <f t="shared" si="40"/>
        <v>0</v>
      </c>
      <c r="AW1079" s="28">
        <f t="shared" si="41"/>
        <v>0</v>
      </c>
      <c r="AX1079" s="28">
        <f t="shared" si="42"/>
        <v>0</v>
      </c>
      <c r="AY1079" s="30" t="s">
        <v>1551</v>
      </c>
      <c r="AZ1079" s="30" t="s">
        <v>1929</v>
      </c>
      <c r="BA1079" s="10" t="s">
        <v>1881</v>
      </c>
      <c r="BC1079" s="28">
        <f t="shared" si="43"/>
        <v>0</v>
      </c>
      <c r="BD1079" s="28">
        <f t="shared" si="44"/>
        <v>0</v>
      </c>
      <c r="BE1079" s="28">
        <v>0</v>
      </c>
      <c r="BF1079" s="28">
        <f>1079</f>
        <v>1079</v>
      </c>
      <c r="BH1079" s="28">
        <f t="shared" si="45"/>
        <v>0</v>
      </c>
      <c r="BI1079" s="28">
        <f t="shared" si="46"/>
        <v>0</v>
      </c>
      <c r="BJ1079" s="28">
        <f t="shared" si="47"/>
        <v>0</v>
      </c>
      <c r="BK1079" s="28"/>
      <c r="BL1079" s="28">
        <v>4</v>
      </c>
      <c r="BW1079" s="28">
        <v>21</v>
      </c>
    </row>
    <row r="1080" spans="1:75" ht="13.5" customHeight="1" x14ac:dyDescent="0.25">
      <c r="A1080" s="2" t="s">
        <v>1942</v>
      </c>
      <c r="B1080" s="3" t="s">
        <v>1943</v>
      </c>
      <c r="C1080" s="83" t="s">
        <v>1916</v>
      </c>
      <c r="D1080" s="80"/>
      <c r="E1080" s="3" t="s">
        <v>148</v>
      </c>
      <c r="F1080" s="28">
        <v>10</v>
      </c>
      <c r="G1080" s="28">
        <v>0</v>
      </c>
      <c r="H1080" s="28">
        <f t="shared" si="24"/>
        <v>0</v>
      </c>
      <c r="I1080" s="28">
        <f t="shared" si="25"/>
        <v>0</v>
      </c>
      <c r="J1080" s="28">
        <f t="shared" si="26"/>
        <v>0</v>
      </c>
      <c r="K1080" s="29" t="s">
        <v>61</v>
      </c>
      <c r="Z1080" s="28">
        <f t="shared" si="27"/>
        <v>0</v>
      </c>
      <c r="AB1080" s="28">
        <f t="shared" si="28"/>
        <v>0</v>
      </c>
      <c r="AC1080" s="28">
        <f t="shared" si="29"/>
        <v>0</v>
      </c>
      <c r="AD1080" s="28">
        <f t="shared" si="30"/>
        <v>0</v>
      </c>
      <c r="AE1080" s="28">
        <f t="shared" si="31"/>
        <v>0</v>
      </c>
      <c r="AF1080" s="28">
        <f t="shared" si="32"/>
        <v>0</v>
      </c>
      <c r="AG1080" s="28">
        <f t="shared" si="33"/>
        <v>0</v>
      </c>
      <c r="AH1080" s="28">
        <f t="shared" si="34"/>
        <v>0</v>
      </c>
      <c r="AI1080" s="10" t="s">
        <v>1875</v>
      </c>
      <c r="AJ1080" s="28">
        <f t="shared" si="35"/>
        <v>0</v>
      </c>
      <c r="AK1080" s="28">
        <f t="shared" si="36"/>
        <v>0</v>
      </c>
      <c r="AL1080" s="28">
        <f t="shared" si="37"/>
        <v>0</v>
      </c>
      <c r="AN1080" s="28">
        <v>21</v>
      </c>
      <c r="AO1080" s="28">
        <f t="shared" si="38"/>
        <v>0</v>
      </c>
      <c r="AP1080" s="28">
        <f t="shared" si="39"/>
        <v>0</v>
      </c>
      <c r="AQ1080" s="30" t="s">
        <v>57</v>
      </c>
      <c r="AV1080" s="28">
        <f t="shared" si="40"/>
        <v>0</v>
      </c>
      <c r="AW1080" s="28">
        <f t="shared" si="41"/>
        <v>0</v>
      </c>
      <c r="AX1080" s="28">
        <f t="shared" si="42"/>
        <v>0</v>
      </c>
      <c r="AY1080" s="30" t="s">
        <v>1551</v>
      </c>
      <c r="AZ1080" s="30" t="s">
        <v>1929</v>
      </c>
      <c r="BA1080" s="10" t="s">
        <v>1881</v>
      </c>
      <c r="BC1080" s="28">
        <f t="shared" si="43"/>
        <v>0</v>
      </c>
      <c r="BD1080" s="28">
        <f t="shared" si="44"/>
        <v>0</v>
      </c>
      <c r="BE1080" s="28">
        <v>0</v>
      </c>
      <c r="BF1080" s="28">
        <f>1080</f>
        <v>1080</v>
      </c>
      <c r="BH1080" s="28">
        <f t="shared" si="45"/>
        <v>0</v>
      </c>
      <c r="BI1080" s="28">
        <f t="shared" si="46"/>
        <v>0</v>
      </c>
      <c r="BJ1080" s="28">
        <f t="shared" si="47"/>
        <v>0</v>
      </c>
      <c r="BK1080" s="28"/>
      <c r="BL1080" s="28">
        <v>4</v>
      </c>
      <c r="BW1080" s="28">
        <v>21</v>
      </c>
    </row>
    <row r="1081" spans="1:75" ht="13.5" customHeight="1" x14ac:dyDescent="0.25">
      <c r="A1081" s="2" t="s">
        <v>1944</v>
      </c>
      <c r="B1081" s="3" t="s">
        <v>1945</v>
      </c>
      <c r="C1081" s="83" t="s">
        <v>1946</v>
      </c>
      <c r="D1081" s="80"/>
      <c r="E1081" s="3" t="s">
        <v>148</v>
      </c>
      <c r="F1081" s="28">
        <v>8</v>
      </c>
      <c r="G1081" s="28">
        <v>0</v>
      </c>
      <c r="H1081" s="28">
        <f t="shared" si="24"/>
        <v>0</v>
      </c>
      <c r="I1081" s="28">
        <f t="shared" si="25"/>
        <v>0</v>
      </c>
      <c r="J1081" s="28">
        <f t="shared" si="26"/>
        <v>0</v>
      </c>
      <c r="K1081" s="29" t="s">
        <v>61</v>
      </c>
      <c r="Z1081" s="28">
        <f t="shared" si="27"/>
        <v>0</v>
      </c>
      <c r="AB1081" s="28">
        <f t="shared" si="28"/>
        <v>0</v>
      </c>
      <c r="AC1081" s="28">
        <f t="shared" si="29"/>
        <v>0</v>
      </c>
      <c r="AD1081" s="28">
        <f t="shared" si="30"/>
        <v>0</v>
      </c>
      <c r="AE1081" s="28">
        <f t="shared" si="31"/>
        <v>0</v>
      </c>
      <c r="AF1081" s="28">
        <f t="shared" si="32"/>
        <v>0</v>
      </c>
      <c r="AG1081" s="28">
        <f t="shared" si="33"/>
        <v>0</v>
      </c>
      <c r="AH1081" s="28">
        <f t="shared" si="34"/>
        <v>0</v>
      </c>
      <c r="AI1081" s="10" t="s">
        <v>1875</v>
      </c>
      <c r="AJ1081" s="28">
        <f t="shared" si="35"/>
        <v>0</v>
      </c>
      <c r="AK1081" s="28">
        <f t="shared" si="36"/>
        <v>0</v>
      </c>
      <c r="AL1081" s="28">
        <f t="shared" si="37"/>
        <v>0</v>
      </c>
      <c r="AN1081" s="28">
        <v>21</v>
      </c>
      <c r="AO1081" s="28">
        <f t="shared" si="38"/>
        <v>0</v>
      </c>
      <c r="AP1081" s="28">
        <f t="shared" si="39"/>
        <v>0</v>
      </c>
      <c r="AQ1081" s="30" t="s">
        <v>57</v>
      </c>
      <c r="AV1081" s="28">
        <f t="shared" si="40"/>
        <v>0</v>
      </c>
      <c r="AW1081" s="28">
        <f t="shared" si="41"/>
        <v>0</v>
      </c>
      <c r="AX1081" s="28">
        <f t="shared" si="42"/>
        <v>0</v>
      </c>
      <c r="AY1081" s="30" t="s">
        <v>1551</v>
      </c>
      <c r="AZ1081" s="30" t="s">
        <v>1929</v>
      </c>
      <c r="BA1081" s="10" t="s">
        <v>1881</v>
      </c>
      <c r="BC1081" s="28">
        <f t="shared" si="43"/>
        <v>0</v>
      </c>
      <c r="BD1081" s="28">
        <f t="shared" si="44"/>
        <v>0</v>
      </c>
      <c r="BE1081" s="28">
        <v>0</v>
      </c>
      <c r="BF1081" s="28">
        <f>1081</f>
        <v>1081</v>
      </c>
      <c r="BH1081" s="28">
        <f t="shared" si="45"/>
        <v>0</v>
      </c>
      <c r="BI1081" s="28">
        <f t="shared" si="46"/>
        <v>0</v>
      </c>
      <c r="BJ1081" s="28">
        <f t="shared" si="47"/>
        <v>0</v>
      </c>
      <c r="BK1081" s="28"/>
      <c r="BL1081" s="28">
        <v>4</v>
      </c>
      <c r="BW1081" s="28">
        <v>21</v>
      </c>
    </row>
    <row r="1082" spans="1:75" ht="13.5" customHeight="1" x14ac:dyDescent="0.25">
      <c r="A1082" s="2" t="s">
        <v>1947</v>
      </c>
      <c r="B1082" s="3" t="s">
        <v>1948</v>
      </c>
      <c r="C1082" s="83" t="s">
        <v>1949</v>
      </c>
      <c r="D1082" s="80"/>
      <c r="E1082" s="3" t="s">
        <v>148</v>
      </c>
      <c r="F1082" s="28">
        <v>2</v>
      </c>
      <c r="G1082" s="28">
        <v>0</v>
      </c>
      <c r="H1082" s="28">
        <f t="shared" si="24"/>
        <v>0</v>
      </c>
      <c r="I1082" s="28">
        <f t="shared" si="25"/>
        <v>0</v>
      </c>
      <c r="J1082" s="28">
        <f t="shared" si="26"/>
        <v>0</v>
      </c>
      <c r="K1082" s="29" t="s">
        <v>61</v>
      </c>
      <c r="Z1082" s="28">
        <f t="shared" si="27"/>
        <v>0</v>
      </c>
      <c r="AB1082" s="28">
        <f t="shared" si="28"/>
        <v>0</v>
      </c>
      <c r="AC1082" s="28">
        <f t="shared" si="29"/>
        <v>0</v>
      </c>
      <c r="AD1082" s="28">
        <f t="shared" si="30"/>
        <v>0</v>
      </c>
      <c r="AE1082" s="28">
        <f t="shared" si="31"/>
        <v>0</v>
      </c>
      <c r="AF1082" s="28">
        <f t="shared" si="32"/>
        <v>0</v>
      </c>
      <c r="AG1082" s="28">
        <f t="shared" si="33"/>
        <v>0</v>
      </c>
      <c r="AH1082" s="28">
        <f t="shared" si="34"/>
        <v>0</v>
      </c>
      <c r="AI1082" s="10" t="s">
        <v>1875</v>
      </c>
      <c r="AJ1082" s="28">
        <f t="shared" si="35"/>
        <v>0</v>
      </c>
      <c r="AK1082" s="28">
        <f t="shared" si="36"/>
        <v>0</v>
      </c>
      <c r="AL1082" s="28">
        <f t="shared" si="37"/>
        <v>0</v>
      </c>
      <c r="AN1082" s="28">
        <v>21</v>
      </c>
      <c r="AO1082" s="28">
        <f t="shared" si="38"/>
        <v>0</v>
      </c>
      <c r="AP1082" s="28">
        <f t="shared" si="39"/>
        <v>0</v>
      </c>
      <c r="AQ1082" s="30" t="s">
        <v>57</v>
      </c>
      <c r="AV1082" s="28">
        <f t="shared" si="40"/>
        <v>0</v>
      </c>
      <c r="AW1082" s="28">
        <f t="shared" si="41"/>
        <v>0</v>
      </c>
      <c r="AX1082" s="28">
        <f t="shared" si="42"/>
        <v>0</v>
      </c>
      <c r="AY1082" s="30" t="s">
        <v>1551</v>
      </c>
      <c r="AZ1082" s="30" t="s">
        <v>1929</v>
      </c>
      <c r="BA1082" s="10" t="s">
        <v>1881</v>
      </c>
      <c r="BC1082" s="28">
        <f t="shared" si="43"/>
        <v>0</v>
      </c>
      <c r="BD1082" s="28">
        <f t="shared" si="44"/>
        <v>0</v>
      </c>
      <c r="BE1082" s="28">
        <v>0</v>
      </c>
      <c r="BF1082" s="28">
        <f>1082</f>
        <v>1082</v>
      </c>
      <c r="BH1082" s="28">
        <f t="shared" si="45"/>
        <v>0</v>
      </c>
      <c r="BI1082" s="28">
        <f t="shared" si="46"/>
        <v>0</v>
      </c>
      <c r="BJ1082" s="28">
        <f t="shared" si="47"/>
        <v>0</v>
      </c>
      <c r="BK1082" s="28"/>
      <c r="BL1082" s="28">
        <v>4</v>
      </c>
      <c r="BW1082" s="28">
        <v>21</v>
      </c>
    </row>
    <row r="1083" spans="1:75" ht="13.5" customHeight="1" x14ac:dyDescent="0.25">
      <c r="A1083" s="2" t="s">
        <v>1950</v>
      </c>
      <c r="B1083" s="3" t="s">
        <v>1951</v>
      </c>
      <c r="C1083" s="83" t="s">
        <v>1952</v>
      </c>
      <c r="D1083" s="80"/>
      <c r="E1083" s="3" t="s">
        <v>1869</v>
      </c>
      <c r="F1083" s="28">
        <v>18</v>
      </c>
      <c r="G1083" s="28">
        <v>0</v>
      </c>
      <c r="H1083" s="28">
        <f t="shared" si="24"/>
        <v>0</v>
      </c>
      <c r="I1083" s="28">
        <f t="shared" si="25"/>
        <v>0</v>
      </c>
      <c r="J1083" s="28">
        <f t="shared" si="26"/>
        <v>0</v>
      </c>
      <c r="K1083" s="29" t="s">
        <v>52</v>
      </c>
      <c r="Z1083" s="28">
        <f t="shared" si="27"/>
        <v>0</v>
      </c>
      <c r="AB1083" s="28">
        <f t="shared" si="28"/>
        <v>0</v>
      </c>
      <c r="AC1083" s="28">
        <f t="shared" si="29"/>
        <v>0</v>
      </c>
      <c r="AD1083" s="28">
        <f t="shared" si="30"/>
        <v>0</v>
      </c>
      <c r="AE1083" s="28">
        <f t="shared" si="31"/>
        <v>0</v>
      </c>
      <c r="AF1083" s="28">
        <f t="shared" si="32"/>
        <v>0</v>
      </c>
      <c r="AG1083" s="28">
        <f t="shared" si="33"/>
        <v>0</v>
      </c>
      <c r="AH1083" s="28">
        <f t="shared" si="34"/>
        <v>0</v>
      </c>
      <c r="AI1083" s="10" t="s">
        <v>1875</v>
      </c>
      <c r="AJ1083" s="28">
        <f t="shared" si="35"/>
        <v>0</v>
      </c>
      <c r="AK1083" s="28">
        <f t="shared" si="36"/>
        <v>0</v>
      </c>
      <c r="AL1083" s="28">
        <f t="shared" si="37"/>
        <v>0</v>
      </c>
      <c r="AN1083" s="28">
        <v>21</v>
      </c>
      <c r="AO1083" s="28">
        <f>G1083*0</f>
        <v>0</v>
      </c>
      <c r="AP1083" s="28">
        <f>G1083*(1-0)</f>
        <v>0</v>
      </c>
      <c r="AQ1083" s="30" t="s">
        <v>57</v>
      </c>
      <c r="AV1083" s="28">
        <f t="shared" si="40"/>
        <v>0</v>
      </c>
      <c r="AW1083" s="28">
        <f t="shared" si="41"/>
        <v>0</v>
      </c>
      <c r="AX1083" s="28">
        <f t="shared" si="42"/>
        <v>0</v>
      </c>
      <c r="AY1083" s="30" t="s">
        <v>1551</v>
      </c>
      <c r="AZ1083" s="30" t="s">
        <v>1929</v>
      </c>
      <c r="BA1083" s="10" t="s">
        <v>1881</v>
      </c>
      <c r="BC1083" s="28">
        <f t="shared" si="43"/>
        <v>0</v>
      </c>
      <c r="BD1083" s="28">
        <f t="shared" si="44"/>
        <v>0</v>
      </c>
      <c r="BE1083" s="28">
        <v>0</v>
      </c>
      <c r="BF1083" s="28">
        <f>1083</f>
        <v>1083</v>
      </c>
      <c r="BH1083" s="28">
        <f t="shared" si="45"/>
        <v>0</v>
      </c>
      <c r="BI1083" s="28">
        <f t="shared" si="46"/>
        <v>0</v>
      </c>
      <c r="BJ1083" s="28">
        <f t="shared" si="47"/>
        <v>0</v>
      </c>
      <c r="BK1083" s="28"/>
      <c r="BL1083" s="28">
        <v>4</v>
      </c>
      <c r="BW1083" s="28">
        <v>21</v>
      </c>
    </row>
    <row r="1084" spans="1:75" ht="13.5" customHeight="1" x14ac:dyDescent="0.25">
      <c r="A1084" s="2" t="s">
        <v>1953</v>
      </c>
      <c r="B1084" s="3" t="s">
        <v>1954</v>
      </c>
      <c r="C1084" s="83" t="s">
        <v>1925</v>
      </c>
      <c r="D1084" s="80"/>
      <c r="E1084" s="3" t="s">
        <v>531</v>
      </c>
      <c r="F1084" s="28">
        <v>1</v>
      </c>
      <c r="G1084" s="28">
        <v>0</v>
      </c>
      <c r="H1084" s="28">
        <f t="shared" si="24"/>
        <v>0</v>
      </c>
      <c r="I1084" s="28">
        <f t="shared" si="25"/>
        <v>0</v>
      </c>
      <c r="J1084" s="28">
        <f t="shared" si="26"/>
        <v>0</v>
      </c>
      <c r="K1084" s="29" t="s">
        <v>52</v>
      </c>
      <c r="Z1084" s="28">
        <f t="shared" si="27"/>
        <v>0</v>
      </c>
      <c r="AB1084" s="28">
        <f t="shared" si="28"/>
        <v>0</v>
      </c>
      <c r="AC1084" s="28">
        <f t="shared" si="29"/>
        <v>0</v>
      </c>
      <c r="AD1084" s="28">
        <f t="shared" si="30"/>
        <v>0</v>
      </c>
      <c r="AE1084" s="28">
        <f t="shared" si="31"/>
        <v>0</v>
      </c>
      <c r="AF1084" s="28">
        <f t="shared" si="32"/>
        <v>0</v>
      </c>
      <c r="AG1084" s="28">
        <f t="shared" si="33"/>
        <v>0</v>
      </c>
      <c r="AH1084" s="28">
        <f t="shared" si="34"/>
        <v>0</v>
      </c>
      <c r="AI1084" s="10" t="s">
        <v>1875</v>
      </c>
      <c r="AJ1084" s="28">
        <f t="shared" si="35"/>
        <v>0</v>
      </c>
      <c r="AK1084" s="28">
        <f t="shared" si="36"/>
        <v>0</v>
      </c>
      <c r="AL1084" s="28">
        <f t="shared" si="37"/>
        <v>0</v>
      </c>
      <c r="AN1084" s="28">
        <v>21</v>
      </c>
      <c r="AO1084" s="28">
        <f>G1084*0.752689502</f>
        <v>0</v>
      </c>
      <c r="AP1084" s="28">
        <f>G1084*(1-0.752689502)</f>
        <v>0</v>
      </c>
      <c r="AQ1084" s="30" t="s">
        <v>57</v>
      </c>
      <c r="AV1084" s="28">
        <f t="shared" si="40"/>
        <v>0</v>
      </c>
      <c r="AW1084" s="28">
        <f t="shared" si="41"/>
        <v>0</v>
      </c>
      <c r="AX1084" s="28">
        <f t="shared" si="42"/>
        <v>0</v>
      </c>
      <c r="AY1084" s="30" t="s">
        <v>1551</v>
      </c>
      <c r="AZ1084" s="30" t="s">
        <v>1929</v>
      </c>
      <c r="BA1084" s="10" t="s">
        <v>1881</v>
      </c>
      <c r="BC1084" s="28">
        <f t="shared" si="43"/>
        <v>0</v>
      </c>
      <c r="BD1084" s="28">
        <f t="shared" si="44"/>
        <v>0</v>
      </c>
      <c r="BE1084" s="28">
        <v>0</v>
      </c>
      <c r="BF1084" s="28">
        <f>1084</f>
        <v>1084</v>
      </c>
      <c r="BH1084" s="28">
        <f t="shared" si="45"/>
        <v>0</v>
      </c>
      <c r="BI1084" s="28">
        <f t="shared" si="46"/>
        <v>0</v>
      </c>
      <c r="BJ1084" s="28">
        <f t="shared" si="47"/>
        <v>0</v>
      </c>
      <c r="BK1084" s="28"/>
      <c r="BL1084" s="28">
        <v>4</v>
      </c>
      <c r="BW1084" s="28">
        <v>21</v>
      </c>
    </row>
    <row r="1085" spans="1:75" x14ac:dyDescent="0.25">
      <c r="A1085" s="24" t="s">
        <v>52</v>
      </c>
      <c r="B1085" s="25" t="s">
        <v>87</v>
      </c>
      <c r="C1085" s="139" t="s">
        <v>1955</v>
      </c>
      <c r="D1085" s="140"/>
      <c r="E1085" s="26" t="s">
        <v>4</v>
      </c>
      <c r="F1085" s="26" t="s">
        <v>4</v>
      </c>
      <c r="G1085" s="26" t="s">
        <v>4</v>
      </c>
      <c r="H1085" s="1">
        <f>SUM(H1086:H1103)</f>
        <v>0</v>
      </c>
      <c r="I1085" s="1">
        <f>SUM(I1086:I1103)</f>
        <v>0</v>
      </c>
      <c r="J1085" s="1">
        <f>SUM(J1086:J1103)</f>
        <v>0</v>
      </c>
      <c r="K1085" s="27" t="s">
        <v>52</v>
      </c>
      <c r="AI1085" s="10" t="s">
        <v>1875</v>
      </c>
      <c r="AS1085" s="1">
        <f>SUM(AJ1086:AJ1103)</f>
        <v>0</v>
      </c>
      <c r="AT1085" s="1">
        <f>SUM(AK1086:AK1103)</f>
        <v>0</v>
      </c>
      <c r="AU1085" s="1">
        <f>SUM(AL1086:AL1103)</f>
        <v>0</v>
      </c>
    </row>
    <row r="1086" spans="1:75" ht="27" customHeight="1" x14ac:dyDescent="0.25">
      <c r="A1086" s="2" t="s">
        <v>1956</v>
      </c>
      <c r="B1086" s="3" t="s">
        <v>1957</v>
      </c>
      <c r="C1086" s="83" t="s">
        <v>1958</v>
      </c>
      <c r="D1086" s="80"/>
      <c r="E1086" s="3" t="s">
        <v>137</v>
      </c>
      <c r="F1086" s="28">
        <v>2</v>
      </c>
      <c r="G1086" s="28">
        <v>0</v>
      </c>
      <c r="H1086" s="28">
        <f t="shared" ref="H1086:H1103" si="48">F1086*AO1086</f>
        <v>0</v>
      </c>
      <c r="I1086" s="28">
        <f t="shared" ref="I1086:I1103" si="49">F1086*AP1086</f>
        <v>0</v>
      </c>
      <c r="J1086" s="28">
        <f t="shared" ref="J1086:J1103" si="50">F1086*G1086</f>
        <v>0</v>
      </c>
      <c r="K1086" s="29" t="s">
        <v>1491</v>
      </c>
      <c r="Z1086" s="28">
        <f t="shared" ref="Z1086:Z1103" si="51">IF(AQ1086="5",BJ1086,0)</f>
        <v>0</v>
      </c>
      <c r="AB1086" s="28">
        <f t="shared" ref="AB1086:AB1103" si="52">IF(AQ1086="1",BH1086,0)</f>
        <v>0</v>
      </c>
      <c r="AC1086" s="28">
        <f t="shared" ref="AC1086:AC1103" si="53">IF(AQ1086="1",BI1086,0)</f>
        <v>0</v>
      </c>
      <c r="AD1086" s="28">
        <f t="shared" ref="AD1086:AD1103" si="54">IF(AQ1086="7",BH1086,0)</f>
        <v>0</v>
      </c>
      <c r="AE1086" s="28">
        <f t="shared" ref="AE1086:AE1103" si="55">IF(AQ1086="7",BI1086,0)</f>
        <v>0</v>
      </c>
      <c r="AF1086" s="28">
        <f t="shared" ref="AF1086:AF1103" si="56">IF(AQ1086="2",BH1086,0)</f>
        <v>0</v>
      </c>
      <c r="AG1086" s="28">
        <f t="shared" ref="AG1086:AG1103" si="57">IF(AQ1086="2",BI1086,0)</f>
        <v>0</v>
      </c>
      <c r="AH1086" s="28">
        <f t="shared" ref="AH1086:AH1103" si="58">IF(AQ1086="0",BJ1086,0)</f>
        <v>0</v>
      </c>
      <c r="AI1086" s="10" t="s">
        <v>1875</v>
      </c>
      <c r="AJ1086" s="28">
        <f t="shared" ref="AJ1086:AJ1103" si="59">IF(AN1086=0,J1086,0)</f>
        <v>0</v>
      </c>
      <c r="AK1086" s="28">
        <f t="shared" ref="AK1086:AK1103" si="60">IF(AN1086=12,J1086,0)</f>
        <v>0</v>
      </c>
      <c r="AL1086" s="28">
        <f t="shared" ref="AL1086:AL1103" si="61">IF(AN1086=21,J1086,0)</f>
        <v>0</v>
      </c>
      <c r="AN1086" s="28">
        <v>21</v>
      </c>
      <c r="AO1086" s="28">
        <f t="shared" ref="AO1086:AO1101" si="62">G1086*1</f>
        <v>0</v>
      </c>
      <c r="AP1086" s="28">
        <f t="shared" ref="AP1086:AP1101" si="63">G1086*(1-1)</f>
        <v>0</v>
      </c>
      <c r="AQ1086" s="30" t="s">
        <v>57</v>
      </c>
      <c r="AV1086" s="28">
        <f t="shared" ref="AV1086:AV1103" si="64">AW1086+AX1086</f>
        <v>0</v>
      </c>
      <c r="AW1086" s="28">
        <f t="shared" ref="AW1086:AW1103" si="65">F1086*AO1086</f>
        <v>0</v>
      </c>
      <c r="AX1086" s="28">
        <f t="shared" ref="AX1086:AX1103" si="66">F1086*AP1086</f>
        <v>0</v>
      </c>
      <c r="AY1086" s="30" t="s">
        <v>1959</v>
      </c>
      <c r="AZ1086" s="30" t="s">
        <v>1960</v>
      </c>
      <c r="BA1086" s="10" t="s">
        <v>1881</v>
      </c>
      <c r="BC1086" s="28">
        <f t="shared" ref="BC1086:BC1103" si="67">AW1086+AX1086</f>
        <v>0</v>
      </c>
      <c r="BD1086" s="28">
        <f t="shared" ref="BD1086:BD1103" si="68">G1086/(100-BE1086)*100</f>
        <v>0</v>
      </c>
      <c r="BE1086" s="28">
        <v>0</v>
      </c>
      <c r="BF1086" s="28">
        <f>1086</f>
        <v>1086</v>
      </c>
      <c r="BH1086" s="28">
        <f t="shared" ref="BH1086:BH1103" si="69">F1086*AO1086</f>
        <v>0</v>
      </c>
      <c r="BI1086" s="28">
        <f t="shared" ref="BI1086:BI1103" si="70">F1086*AP1086</f>
        <v>0</v>
      </c>
      <c r="BJ1086" s="28">
        <f t="shared" ref="BJ1086:BJ1103" si="71">F1086*G1086</f>
        <v>0</v>
      </c>
      <c r="BK1086" s="28"/>
      <c r="BL1086" s="28">
        <v>5</v>
      </c>
      <c r="BW1086" s="28">
        <v>21</v>
      </c>
    </row>
    <row r="1087" spans="1:75" ht="27" customHeight="1" x14ac:dyDescent="0.25">
      <c r="A1087" s="2" t="s">
        <v>1961</v>
      </c>
      <c r="B1087" s="3" t="s">
        <v>1962</v>
      </c>
      <c r="C1087" s="83" t="s">
        <v>1963</v>
      </c>
      <c r="D1087" s="80"/>
      <c r="E1087" s="3" t="s">
        <v>137</v>
      </c>
      <c r="F1087" s="28">
        <v>2</v>
      </c>
      <c r="G1087" s="28">
        <v>0</v>
      </c>
      <c r="H1087" s="28">
        <f t="shared" si="48"/>
        <v>0</v>
      </c>
      <c r="I1087" s="28">
        <f t="shared" si="49"/>
        <v>0</v>
      </c>
      <c r="J1087" s="28">
        <f t="shared" si="50"/>
        <v>0</v>
      </c>
      <c r="K1087" s="29" t="s">
        <v>1491</v>
      </c>
      <c r="Z1087" s="28">
        <f t="shared" si="51"/>
        <v>0</v>
      </c>
      <c r="AB1087" s="28">
        <f t="shared" si="52"/>
        <v>0</v>
      </c>
      <c r="AC1087" s="28">
        <f t="shared" si="53"/>
        <v>0</v>
      </c>
      <c r="AD1087" s="28">
        <f t="shared" si="54"/>
        <v>0</v>
      </c>
      <c r="AE1087" s="28">
        <f t="shared" si="55"/>
        <v>0</v>
      </c>
      <c r="AF1087" s="28">
        <f t="shared" si="56"/>
        <v>0</v>
      </c>
      <c r="AG1087" s="28">
        <f t="shared" si="57"/>
        <v>0</v>
      </c>
      <c r="AH1087" s="28">
        <f t="shared" si="58"/>
        <v>0</v>
      </c>
      <c r="AI1087" s="10" t="s">
        <v>1875</v>
      </c>
      <c r="AJ1087" s="28">
        <f t="shared" si="59"/>
        <v>0</v>
      </c>
      <c r="AK1087" s="28">
        <f t="shared" si="60"/>
        <v>0</v>
      </c>
      <c r="AL1087" s="28">
        <f t="shared" si="61"/>
        <v>0</v>
      </c>
      <c r="AN1087" s="28">
        <v>21</v>
      </c>
      <c r="AO1087" s="28">
        <f t="shared" si="62"/>
        <v>0</v>
      </c>
      <c r="AP1087" s="28">
        <f t="shared" si="63"/>
        <v>0</v>
      </c>
      <c r="AQ1087" s="30" t="s">
        <v>57</v>
      </c>
      <c r="AV1087" s="28">
        <f t="shared" si="64"/>
        <v>0</v>
      </c>
      <c r="AW1087" s="28">
        <f t="shared" si="65"/>
        <v>0</v>
      </c>
      <c r="AX1087" s="28">
        <f t="shared" si="66"/>
        <v>0</v>
      </c>
      <c r="AY1087" s="30" t="s">
        <v>1959</v>
      </c>
      <c r="AZ1087" s="30" t="s">
        <v>1960</v>
      </c>
      <c r="BA1087" s="10" t="s">
        <v>1881</v>
      </c>
      <c r="BC1087" s="28">
        <f t="shared" si="67"/>
        <v>0</v>
      </c>
      <c r="BD1087" s="28">
        <f t="shared" si="68"/>
        <v>0</v>
      </c>
      <c r="BE1087" s="28">
        <v>0</v>
      </c>
      <c r="BF1087" s="28">
        <f>1087</f>
        <v>1087</v>
      </c>
      <c r="BH1087" s="28">
        <f t="shared" si="69"/>
        <v>0</v>
      </c>
      <c r="BI1087" s="28">
        <f t="shared" si="70"/>
        <v>0</v>
      </c>
      <c r="BJ1087" s="28">
        <f t="shared" si="71"/>
        <v>0</v>
      </c>
      <c r="BK1087" s="28"/>
      <c r="BL1087" s="28">
        <v>5</v>
      </c>
      <c r="BW1087" s="28">
        <v>21</v>
      </c>
    </row>
    <row r="1088" spans="1:75" ht="13.5" customHeight="1" x14ac:dyDescent="0.25">
      <c r="A1088" s="2" t="s">
        <v>1964</v>
      </c>
      <c r="B1088" s="3" t="s">
        <v>1965</v>
      </c>
      <c r="C1088" s="83" t="s">
        <v>1966</v>
      </c>
      <c r="D1088" s="80"/>
      <c r="E1088" s="3" t="s">
        <v>148</v>
      </c>
      <c r="F1088" s="28">
        <v>1</v>
      </c>
      <c r="G1088" s="28">
        <v>0</v>
      </c>
      <c r="H1088" s="28">
        <f t="shared" si="48"/>
        <v>0</v>
      </c>
      <c r="I1088" s="28">
        <f t="shared" si="49"/>
        <v>0</v>
      </c>
      <c r="J1088" s="28">
        <f t="shared" si="50"/>
        <v>0</v>
      </c>
      <c r="K1088" s="29" t="s">
        <v>61</v>
      </c>
      <c r="Z1088" s="28">
        <f t="shared" si="51"/>
        <v>0</v>
      </c>
      <c r="AB1088" s="28">
        <f t="shared" si="52"/>
        <v>0</v>
      </c>
      <c r="AC1088" s="28">
        <f t="shared" si="53"/>
        <v>0</v>
      </c>
      <c r="AD1088" s="28">
        <f t="shared" si="54"/>
        <v>0</v>
      </c>
      <c r="AE1088" s="28">
        <f t="shared" si="55"/>
        <v>0</v>
      </c>
      <c r="AF1088" s="28">
        <f t="shared" si="56"/>
        <v>0</v>
      </c>
      <c r="AG1088" s="28">
        <f t="shared" si="57"/>
        <v>0</v>
      </c>
      <c r="AH1088" s="28">
        <f t="shared" si="58"/>
        <v>0</v>
      </c>
      <c r="AI1088" s="10" t="s">
        <v>1875</v>
      </c>
      <c r="AJ1088" s="28">
        <f t="shared" si="59"/>
        <v>0</v>
      </c>
      <c r="AK1088" s="28">
        <f t="shared" si="60"/>
        <v>0</v>
      </c>
      <c r="AL1088" s="28">
        <f t="shared" si="61"/>
        <v>0</v>
      </c>
      <c r="AN1088" s="28">
        <v>21</v>
      </c>
      <c r="AO1088" s="28">
        <f t="shared" si="62"/>
        <v>0</v>
      </c>
      <c r="AP1088" s="28">
        <f t="shared" si="63"/>
        <v>0</v>
      </c>
      <c r="AQ1088" s="30" t="s">
        <v>57</v>
      </c>
      <c r="AV1088" s="28">
        <f t="shared" si="64"/>
        <v>0</v>
      </c>
      <c r="AW1088" s="28">
        <f t="shared" si="65"/>
        <v>0</v>
      </c>
      <c r="AX1088" s="28">
        <f t="shared" si="66"/>
        <v>0</v>
      </c>
      <c r="AY1088" s="30" t="s">
        <v>1959</v>
      </c>
      <c r="AZ1088" s="30" t="s">
        <v>1960</v>
      </c>
      <c r="BA1088" s="10" t="s">
        <v>1881</v>
      </c>
      <c r="BC1088" s="28">
        <f t="shared" si="67"/>
        <v>0</v>
      </c>
      <c r="BD1088" s="28">
        <f t="shared" si="68"/>
        <v>0</v>
      </c>
      <c r="BE1088" s="28">
        <v>0</v>
      </c>
      <c r="BF1088" s="28">
        <f>1088</f>
        <v>1088</v>
      </c>
      <c r="BH1088" s="28">
        <f t="shared" si="69"/>
        <v>0</v>
      </c>
      <c r="BI1088" s="28">
        <f t="shared" si="70"/>
        <v>0</v>
      </c>
      <c r="BJ1088" s="28">
        <f t="shared" si="71"/>
        <v>0</v>
      </c>
      <c r="BK1088" s="28"/>
      <c r="BL1088" s="28">
        <v>5</v>
      </c>
      <c r="BW1088" s="28">
        <v>21</v>
      </c>
    </row>
    <row r="1089" spans="1:75" ht="27" customHeight="1" x14ac:dyDescent="0.25">
      <c r="A1089" s="2" t="s">
        <v>1967</v>
      </c>
      <c r="B1089" s="3" t="s">
        <v>1968</v>
      </c>
      <c r="C1089" s="83" t="s">
        <v>1969</v>
      </c>
      <c r="D1089" s="80"/>
      <c r="E1089" s="3" t="s">
        <v>137</v>
      </c>
      <c r="F1089" s="28">
        <v>2</v>
      </c>
      <c r="G1089" s="28">
        <v>0</v>
      </c>
      <c r="H1089" s="28">
        <f t="shared" si="48"/>
        <v>0</v>
      </c>
      <c r="I1089" s="28">
        <f t="shared" si="49"/>
        <v>0</v>
      </c>
      <c r="J1089" s="28">
        <f t="shared" si="50"/>
        <v>0</v>
      </c>
      <c r="K1089" s="29" t="s">
        <v>61</v>
      </c>
      <c r="Z1089" s="28">
        <f t="shared" si="51"/>
        <v>0</v>
      </c>
      <c r="AB1089" s="28">
        <f t="shared" si="52"/>
        <v>0</v>
      </c>
      <c r="AC1089" s="28">
        <f t="shared" si="53"/>
        <v>0</v>
      </c>
      <c r="AD1089" s="28">
        <f t="shared" si="54"/>
        <v>0</v>
      </c>
      <c r="AE1089" s="28">
        <f t="shared" si="55"/>
        <v>0</v>
      </c>
      <c r="AF1089" s="28">
        <f t="shared" si="56"/>
        <v>0</v>
      </c>
      <c r="AG1089" s="28">
        <f t="shared" si="57"/>
        <v>0</v>
      </c>
      <c r="AH1089" s="28">
        <f t="shared" si="58"/>
        <v>0</v>
      </c>
      <c r="AI1089" s="10" t="s">
        <v>1875</v>
      </c>
      <c r="AJ1089" s="28">
        <f t="shared" si="59"/>
        <v>0</v>
      </c>
      <c r="AK1089" s="28">
        <f t="shared" si="60"/>
        <v>0</v>
      </c>
      <c r="AL1089" s="28">
        <f t="shared" si="61"/>
        <v>0</v>
      </c>
      <c r="AN1089" s="28">
        <v>21</v>
      </c>
      <c r="AO1089" s="28">
        <f t="shared" si="62"/>
        <v>0</v>
      </c>
      <c r="AP1089" s="28">
        <f t="shared" si="63"/>
        <v>0</v>
      </c>
      <c r="AQ1089" s="30" t="s">
        <v>57</v>
      </c>
      <c r="AV1089" s="28">
        <f t="shared" si="64"/>
        <v>0</v>
      </c>
      <c r="AW1089" s="28">
        <f t="shared" si="65"/>
        <v>0</v>
      </c>
      <c r="AX1089" s="28">
        <f t="shared" si="66"/>
        <v>0</v>
      </c>
      <c r="AY1089" s="30" t="s">
        <v>1959</v>
      </c>
      <c r="AZ1089" s="30" t="s">
        <v>1960</v>
      </c>
      <c r="BA1089" s="10" t="s">
        <v>1881</v>
      </c>
      <c r="BC1089" s="28">
        <f t="shared" si="67"/>
        <v>0</v>
      </c>
      <c r="BD1089" s="28">
        <f t="shared" si="68"/>
        <v>0</v>
      </c>
      <c r="BE1089" s="28">
        <v>0</v>
      </c>
      <c r="BF1089" s="28">
        <f>1089</f>
        <v>1089</v>
      </c>
      <c r="BH1089" s="28">
        <f t="shared" si="69"/>
        <v>0</v>
      </c>
      <c r="BI1089" s="28">
        <f t="shared" si="70"/>
        <v>0</v>
      </c>
      <c r="BJ1089" s="28">
        <f t="shared" si="71"/>
        <v>0</v>
      </c>
      <c r="BK1089" s="28"/>
      <c r="BL1089" s="28">
        <v>5</v>
      </c>
      <c r="BW1089" s="28">
        <v>21</v>
      </c>
    </row>
    <row r="1090" spans="1:75" ht="27" customHeight="1" x14ac:dyDescent="0.25">
      <c r="A1090" s="2" t="s">
        <v>1970</v>
      </c>
      <c r="B1090" s="3" t="s">
        <v>1971</v>
      </c>
      <c r="C1090" s="83" t="s">
        <v>1972</v>
      </c>
      <c r="D1090" s="80"/>
      <c r="E1090" s="3" t="s">
        <v>137</v>
      </c>
      <c r="F1090" s="28">
        <v>2</v>
      </c>
      <c r="G1090" s="28">
        <v>0</v>
      </c>
      <c r="H1090" s="28">
        <f t="shared" si="48"/>
        <v>0</v>
      </c>
      <c r="I1090" s="28">
        <f t="shared" si="49"/>
        <v>0</v>
      </c>
      <c r="J1090" s="28">
        <f t="shared" si="50"/>
        <v>0</v>
      </c>
      <c r="K1090" s="29" t="s">
        <v>61</v>
      </c>
      <c r="Z1090" s="28">
        <f t="shared" si="51"/>
        <v>0</v>
      </c>
      <c r="AB1090" s="28">
        <f t="shared" si="52"/>
        <v>0</v>
      </c>
      <c r="AC1090" s="28">
        <f t="shared" si="53"/>
        <v>0</v>
      </c>
      <c r="AD1090" s="28">
        <f t="shared" si="54"/>
        <v>0</v>
      </c>
      <c r="AE1090" s="28">
        <f t="shared" si="55"/>
        <v>0</v>
      </c>
      <c r="AF1090" s="28">
        <f t="shared" si="56"/>
        <v>0</v>
      </c>
      <c r="AG1090" s="28">
        <f t="shared" si="57"/>
        <v>0</v>
      </c>
      <c r="AH1090" s="28">
        <f t="shared" si="58"/>
        <v>0</v>
      </c>
      <c r="AI1090" s="10" t="s">
        <v>1875</v>
      </c>
      <c r="AJ1090" s="28">
        <f t="shared" si="59"/>
        <v>0</v>
      </c>
      <c r="AK1090" s="28">
        <f t="shared" si="60"/>
        <v>0</v>
      </c>
      <c r="AL1090" s="28">
        <f t="shared" si="61"/>
        <v>0</v>
      </c>
      <c r="AN1090" s="28">
        <v>21</v>
      </c>
      <c r="AO1090" s="28">
        <f t="shared" si="62"/>
        <v>0</v>
      </c>
      <c r="AP1090" s="28">
        <f t="shared" si="63"/>
        <v>0</v>
      </c>
      <c r="AQ1090" s="30" t="s">
        <v>57</v>
      </c>
      <c r="AV1090" s="28">
        <f t="shared" si="64"/>
        <v>0</v>
      </c>
      <c r="AW1090" s="28">
        <f t="shared" si="65"/>
        <v>0</v>
      </c>
      <c r="AX1090" s="28">
        <f t="shared" si="66"/>
        <v>0</v>
      </c>
      <c r="AY1090" s="30" t="s">
        <v>1959</v>
      </c>
      <c r="AZ1090" s="30" t="s">
        <v>1960</v>
      </c>
      <c r="BA1090" s="10" t="s">
        <v>1881</v>
      </c>
      <c r="BC1090" s="28">
        <f t="shared" si="67"/>
        <v>0</v>
      </c>
      <c r="BD1090" s="28">
        <f t="shared" si="68"/>
        <v>0</v>
      </c>
      <c r="BE1090" s="28">
        <v>0</v>
      </c>
      <c r="BF1090" s="28">
        <f>1090</f>
        <v>1090</v>
      </c>
      <c r="BH1090" s="28">
        <f t="shared" si="69"/>
        <v>0</v>
      </c>
      <c r="BI1090" s="28">
        <f t="shared" si="70"/>
        <v>0</v>
      </c>
      <c r="BJ1090" s="28">
        <f t="shared" si="71"/>
        <v>0</v>
      </c>
      <c r="BK1090" s="28"/>
      <c r="BL1090" s="28">
        <v>5</v>
      </c>
      <c r="BW1090" s="28">
        <v>21</v>
      </c>
    </row>
    <row r="1091" spans="1:75" ht="13.5" customHeight="1" x14ac:dyDescent="0.25">
      <c r="A1091" s="2" t="s">
        <v>1973</v>
      </c>
      <c r="B1091" s="3" t="s">
        <v>1974</v>
      </c>
      <c r="C1091" s="83" t="s">
        <v>1975</v>
      </c>
      <c r="D1091" s="80"/>
      <c r="E1091" s="3" t="s">
        <v>137</v>
      </c>
      <c r="F1091" s="28">
        <v>2</v>
      </c>
      <c r="G1091" s="28">
        <v>0</v>
      </c>
      <c r="H1091" s="28">
        <f t="shared" si="48"/>
        <v>0</v>
      </c>
      <c r="I1091" s="28">
        <f t="shared" si="49"/>
        <v>0</v>
      </c>
      <c r="J1091" s="28">
        <f t="shared" si="50"/>
        <v>0</v>
      </c>
      <c r="K1091" s="29" t="s">
        <v>1904</v>
      </c>
      <c r="Z1091" s="28">
        <f t="shared" si="51"/>
        <v>0</v>
      </c>
      <c r="AB1091" s="28">
        <f t="shared" si="52"/>
        <v>0</v>
      </c>
      <c r="AC1091" s="28">
        <f t="shared" si="53"/>
        <v>0</v>
      </c>
      <c r="AD1091" s="28">
        <f t="shared" si="54"/>
        <v>0</v>
      </c>
      <c r="AE1091" s="28">
        <f t="shared" si="55"/>
        <v>0</v>
      </c>
      <c r="AF1091" s="28">
        <f t="shared" si="56"/>
        <v>0</v>
      </c>
      <c r="AG1091" s="28">
        <f t="shared" si="57"/>
        <v>0</v>
      </c>
      <c r="AH1091" s="28">
        <f t="shared" si="58"/>
        <v>0</v>
      </c>
      <c r="AI1091" s="10" t="s">
        <v>1875</v>
      </c>
      <c r="AJ1091" s="28">
        <f t="shared" si="59"/>
        <v>0</v>
      </c>
      <c r="AK1091" s="28">
        <f t="shared" si="60"/>
        <v>0</v>
      </c>
      <c r="AL1091" s="28">
        <f t="shared" si="61"/>
        <v>0</v>
      </c>
      <c r="AN1091" s="28">
        <v>21</v>
      </c>
      <c r="AO1091" s="28">
        <f t="shared" si="62"/>
        <v>0</v>
      </c>
      <c r="AP1091" s="28">
        <f t="shared" si="63"/>
        <v>0</v>
      </c>
      <c r="AQ1091" s="30" t="s">
        <v>57</v>
      </c>
      <c r="AV1091" s="28">
        <f t="shared" si="64"/>
        <v>0</v>
      </c>
      <c r="AW1091" s="28">
        <f t="shared" si="65"/>
        <v>0</v>
      </c>
      <c r="AX1091" s="28">
        <f t="shared" si="66"/>
        <v>0</v>
      </c>
      <c r="AY1091" s="30" t="s">
        <v>1959</v>
      </c>
      <c r="AZ1091" s="30" t="s">
        <v>1960</v>
      </c>
      <c r="BA1091" s="10" t="s">
        <v>1881</v>
      </c>
      <c r="BC1091" s="28">
        <f t="shared" si="67"/>
        <v>0</v>
      </c>
      <c r="BD1091" s="28">
        <f t="shared" si="68"/>
        <v>0</v>
      </c>
      <c r="BE1091" s="28">
        <v>0</v>
      </c>
      <c r="BF1091" s="28">
        <f>1091</f>
        <v>1091</v>
      </c>
      <c r="BH1091" s="28">
        <f t="shared" si="69"/>
        <v>0</v>
      </c>
      <c r="BI1091" s="28">
        <f t="shared" si="70"/>
        <v>0</v>
      </c>
      <c r="BJ1091" s="28">
        <f t="shared" si="71"/>
        <v>0</v>
      </c>
      <c r="BK1091" s="28"/>
      <c r="BL1091" s="28">
        <v>5</v>
      </c>
      <c r="BW1091" s="28">
        <v>21</v>
      </c>
    </row>
    <row r="1092" spans="1:75" ht="13.5" customHeight="1" x14ac:dyDescent="0.25">
      <c r="A1092" s="2" t="s">
        <v>1976</v>
      </c>
      <c r="B1092" s="3" t="s">
        <v>1977</v>
      </c>
      <c r="C1092" s="83" t="s">
        <v>1978</v>
      </c>
      <c r="D1092" s="80"/>
      <c r="E1092" s="3" t="s">
        <v>137</v>
      </c>
      <c r="F1092" s="28">
        <v>1</v>
      </c>
      <c r="G1092" s="28">
        <v>0</v>
      </c>
      <c r="H1092" s="28">
        <f t="shared" si="48"/>
        <v>0</v>
      </c>
      <c r="I1092" s="28">
        <f t="shared" si="49"/>
        <v>0</v>
      </c>
      <c r="J1092" s="28">
        <f t="shared" si="50"/>
        <v>0</v>
      </c>
      <c r="K1092" s="29" t="s">
        <v>61</v>
      </c>
      <c r="Z1092" s="28">
        <f t="shared" si="51"/>
        <v>0</v>
      </c>
      <c r="AB1092" s="28">
        <f t="shared" si="52"/>
        <v>0</v>
      </c>
      <c r="AC1092" s="28">
        <f t="shared" si="53"/>
        <v>0</v>
      </c>
      <c r="AD1092" s="28">
        <f t="shared" si="54"/>
        <v>0</v>
      </c>
      <c r="AE1092" s="28">
        <f t="shared" si="55"/>
        <v>0</v>
      </c>
      <c r="AF1092" s="28">
        <f t="shared" si="56"/>
        <v>0</v>
      </c>
      <c r="AG1092" s="28">
        <f t="shared" si="57"/>
        <v>0</v>
      </c>
      <c r="AH1092" s="28">
        <f t="shared" si="58"/>
        <v>0</v>
      </c>
      <c r="AI1092" s="10" t="s">
        <v>1875</v>
      </c>
      <c r="AJ1092" s="28">
        <f t="shared" si="59"/>
        <v>0</v>
      </c>
      <c r="AK1092" s="28">
        <f t="shared" si="60"/>
        <v>0</v>
      </c>
      <c r="AL1092" s="28">
        <f t="shared" si="61"/>
        <v>0</v>
      </c>
      <c r="AN1092" s="28">
        <v>21</v>
      </c>
      <c r="AO1092" s="28">
        <f t="shared" si="62"/>
        <v>0</v>
      </c>
      <c r="AP1092" s="28">
        <f t="shared" si="63"/>
        <v>0</v>
      </c>
      <c r="AQ1092" s="30" t="s">
        <v>57</v>
      </c>
      <c r="AV1092" s="28">
        <f t="shared" si="64"/>
        <v>0</v>
      </c>
      <c r="AW1092" s="28">
        <f t="shared" si="65"/>
        <v>0</v>
      </c>
      <c r="AX1092" s="28">
        <f t="shared" si="66"/>
        <v>0</v>
      </c>
      <c r="AY1092" s="30" t="s">
        <v>1959</v>
      </c>
      <c r="AZ1092" s="30" t="s">
        <v>1960</v>
      </c>
      <c r="BA1092" s="10" t="s">
        <v>1881</v>
      </c>
      <c r="BC1092" s="28">
        <f t="shared" si="67"/>
        <v>0</v>
      </c>
      <c r="BD1092" s="28">
        <f t="shared" si="68"/>
        <v>0</v>
      </c>
      <c r="BE1092" s="28">
        <v>0</v>
      </c>
      <c r="BF1092" s="28">
        <f>1092</f>
        <v>1092</v>
      </c>
      <c r="BH1092" s="28">
        <f t="shared" si="69"/>
        <v>0</v>
      </c>
      <c r="BI1092" s="28">
        <f t="shared" si="70"/>
        <v>0</v>
      </c>
      <c r="BJ1092" s="28">
        <f t="shared" si="71"/>
        <v>0</v>
      </c>
      <c r="BK1092" s="28"/>
      <c r="BL1092" s="28">
        <v>5</v>
      </c>
      <c r="BW1092" s="28">
        <v>21</v>
      </c>
    </row>
    <row r="1093" spans="1:75" ht="13.5" customHeight="1" x14ac:dyDescent="0.25">
      <c r="A1093" s="2" t="s">
        <v>1979</v>
      </c>
      <c r="B1093" s="3" t="s">
        <v>1980</v>
      </c>
      <c r="C1093" s="83" t="s">
        <v>1981</v>
      </c>
      <c r="D1093" s="80"/>
      <c r="E1093" s="3" t="s">
        <v>137</v>
      </c>
      <c r="F1093" s="28">
        <v>2</v>
      </c>
      <c r="G1093" s="28">
        <v>0</v>
      </c>
      <c r="H1093" s="28">
        <f t="shared" si="48"/>
        <v>0</v>
      </c>
      <c r="I1093" s="28">
        <f t="shared" si="49"/>
        <v>0</v>
      </c>
      <c r="J1093" s="28">
        <f t="shared" si="50"/>
        <v>0</v>
      </c>
      <c r="K1093" s="29" t="s">
        <v>1904</v>
      </c>
      <c r="Z1093" s="28">
        <f t="shared" si="51"/>
        <v>0</v>
      </c>
      <c r="AB1093" s="28">
        <f t="shared" si="52"/>
        <v>0</v>
      </c>
      <c r="AC1093" s="28">
        <f t="shared" si="53"/>
        <v>0</v>
      </c>
      <c r="AD1093" s="28">
        <f t="shared" si="54"/>
        <v>0</v>
      </c>
      <c r="AE1093" s="28">
        <f t="shared" si="55"/>
        <v>0</v>
      </c>
      <c r="AF1093" s="28">
        <f t="shared" si="56"/>
        <v>0</v>
      </c>
      <c r="AG1093" s="28">
        <f t="shared" si="57"/>
        <v>0</v>
      </c>
      <c r="AH1093" s="28">
        <f t="shared" si="58"/>
        <v>0</v>
      </c>
      <c r="AI1093" s="10" t="s">
        <v>1875</v>
      </c>
      <c r="AJ1093" s="28">
        <f t="shared" si="59"/>
        <v>0</v>
      </c>
      <c r="AK1093" s="28">
        <f t="shared" si="60"/>
        <v>0</v>
      </c>
      <c r="AL1093" s="28">
        <f t="shared" si="61"/>
        <v>0</v>
      </c>
      <c r="AN1093" s="28">
        <v>21</v>
      </c>
      <c r="AO1093" s="28">
        <f t="shared" si="62"/>
        <v>0</v>
      </c>
      <c r="AP1093" s="28">
        <f t="shared" si="63"/>
        <v>0</v>
      </c>
      <c r="AQ1093" s="30" t="s">
        <v>57</v>
      </c>
      <c r="AV1093" s="28">
        <f t="shared" si="64"/>
        <v>0</v>
      </c>
      <c r="AW1093" s="28">
        <f t="shared" si="65"/>
        <v>0</v>
      </c>
      <c r="AX1093" s="28">
        <f t="shared" si="66"/>
        <v>0</v>
      </c>
      <c r="AY1093" s="30" t="s">
        <v>1959</v>
      </c>
      <c r="AZ1093" s="30" t="s">
        <v>1960</v>
      </c>
      <c r="BA1093" s="10" t="s">
        <v>1881</v>
      </c>
      <c r="BC1093" s="28">
        <f t="shared" si="67"/>
        <v>0</v>
      </c>
      <c r="BD1093" s="28">
        <f t="shared" si="68"/>
        <v>0</v>
      </c>
      <c r="BE1093" s="28">
        <v>0</v>
      </c>
      <c r="BF1093" s="28">
        <f>1093</f>
        <v>1093</v>
      </c>
      <c r="BH1093" s="28">
        <f t="shared" si="69"/>
        <v>0</v>
      </c>
      <c r="BI1093" s="28">
        <f t="shared" si="70"/>
        <v>0</v>
      </c>
      <c r="BJ1093" s="28">
        <f t="shared" si="71"/>
        <v>0</v>
      </c>
      <c r="BK1093" s="28"/>
      <c r="BL1093" s="28">
        <v>5</v>
      </c>
      <c r="BW1093" s="28">
        <v>21</v>
      </c>
    </row>
    <row r="1094" spans="1:75" ht="13.5" customHeight="1" x14ac:dyDescent="0.25">
      <c r="A1094" s="2" t="s">
        <v>1982</v>
      </c>
      <c r="B1094" s="3" t="s">
        <v>1983</v>
      </c>
      <c r="C1094" s="83" t="s">
        <v>1984</v>
      </c>
      <c r="D1094" s="80"/>
      <c r="E1094" s="3" t="s">
        <v>137</v>
      </c>
      <c r="F1094" s="28">
        <v>2</v>
      </c>
      <c r="G1094" s="28">
        <v>0</v>
      </c>
      <c r="H1094" s="28">
        <f t="shared" si="48"/>
        <v>0</v>
      </c>
      <c r="I1094" s="28">
        <f t="shared" si="49"/>
        <v>0</v>
      </c>
      <c r="J1094" s="28">
        <f t="shared" si="50"/>
        <v>0</v>
      </c>
      <c r="K1094" s="29" t="s">
        <v>1904</v>
      </c>
      <c r="Z1094" s="28">
        <f t="shared" si="51"/>
        <v>0</v>
      </c>
      <c r="AB1094" s="28">
        <f t="shared" si="52"/>
        <v>0</v>
      </c>
      <c r="AC1094" s="28">
        <f t="shared" si="53"/>
        <v>0</v>
      </c>
      <c r="AD1094" s="28">
        <f t="shared" si="54"/>
        <v>0</v>
      </c>
      <c r="AE1094" s="28">
        <f t="shared" si="55"/>
        <v>0</v>
      </c>
      <c r="AF1094" s="28">
        <f t="shared" si="56"/>
        <v>0</v>
      </c>
      <c r="AG1094" s="28">
        <f t="shared" si="57"/>
        <v>0</v>
      </c>
      <c r="AH1094" s="28">
        <f t="shared" si="58"/>
        <v>0</v>
      </c>
      <c r="AI1094" s="10" t="s">
        <v>1875</v>
      </c>
      <c r="AJ1094" s="28">
        <f t="shared" si="59"/>
        <v>0</v>
      </c>
      <c r="AK1094" s="28">
        <f t="shared" si="60"/>
        <v>0</v>
      </c>
      <c r="AL1094" s="28">
        <f t="shared" si="61"/>
        <v>0</v>
      </c>
      <c r="AN1094" s="28">
        <v>21</v>
      </c>
      <c r="AO1094" s="28">
        <f t="shared" si="62"/>
        <v>0</v>
      </c>
      <c r="AP1094" s="28">
        <f t="shared" si="63"/>
        <v>0</v>
      </c>
      <c r="AQ1094" s="30" t="s">
        <v>57</v>
      </c>
      <c r="AV1094" s="28">
        <f t="shared" si="64"/>
        <v>0</v>
      </c>
      <c r="AW1094" s="28">
        <f t="shared" si="65"/>
        <v>0</v>
      </c>
      <c r="AX1094" s="28">
        <f t="shared" si="66"/>
        <v>0</v>
      </c>
      <c r="AY1094" s="30" t="s">
        <v>1959</v>
      </c>
      <c r="AZ1094" s="30" t="s">
        <v>1960</v>
      </c>
      <c r="BA1094" s="10" t="s">
        <v>1881</v>
      </c>
      <c r="BC1094" s="28">
        <f t="shared" si="67"/>
        <v>0</v>
      </c>
      <c r="BD1094" s="28">
        <f t="shared" si="68"/>
        <v>0</v>
      </c>
      <c r="BE1094" s="28">
        <v>0</v>
      </c>
      <c r="BF1094" s="28">
        <f>1094</f>
        <v>1094</v>
      </c>
      <c r="BH1094" s="28">
        <f t="shared" si="69"/>
        <v>0</v>
      </c>
      <c r="BI1094" s="28">
        <f t="shared" si="70"/>
        <v>0</v>
      </c>
      <c r="BJ1094" s="28">
        <f t="shared" si="71"/>
        <v>0</v>
      </c>
      <c r="BK1094" s="28"/>
      <c r="BL1094" s="28">
        <v>5</v>
      </c>
      <c r="BW1094" s="28">
        <v>21</v>
      </c>
    </row>
    <row r="1095" spans="1:75" ht="13.5" customHeight="1" x14ac:dyDescent="0.25">
      <c r="A1095" s="2" t="s">
        <v>1985</v>
      </c>
      <c r="B1095" s="3" t="s">
        <v>1986</v>
      </c>
      <c r="C1095" s="83" t="s">
        <v>1916</v>
      </c>
      <c r="D1095" s="80"/>
      <c r="E1095" s="3" t="s">
        <v>148</v>
      </c>
      <c r="F1095" s="28">
        <v>29</v>
      </c>
      <c r="G1095" s="28">
        <v>0</v>
      </c>
      <c r="H1095" s="28">
        <f t="shared" si="48"/>
        <v>0</v>
      </c>
      <c r="I1095" s="28">
        <f t="shared" si="49"/>
        <v>0</v>
      </c>
      <c r="J1095" s="28">
        <f t="shared" si="50"/>
        <v>0</v>
      </c>
      <c r="K1095" s="29" t="s">
        <v>61</v>
      </c>
      <c r="Z1095" s="28">
        <f t="shared" si="51"/>
        <v>0</v>
      </c>
      <c r="AB1095" s="28">
        <f t="shared" si="52"/>
        <v>0</v>
      </c>
      <c r="AC1095" s="28">
        <f t="shared" si="53"/>
        <v>0</v>
      </c>
      <c r="AD1095" s="28">
        <f t="shared" si="54"/>
        <v>0</v>
      </c>
      <c r="AE1095" s="28">
        <f t="shared" si="55"/>
        <v>0</v>
      </c>
      <c r="AF1095" s="28">
        <f t="shared" si="56"/>
        <v>0</v>
      </c>
      <c r="AG1095" s="28">
        <f t="shared" si="57"/>
        <v>0</v>
      </c>
      <c r="AH1095" s="28">
        <f t="shared" si="58"/>
        <v>0</v>
      </c>
      <c r="AI1095" s="10" t="s">
        <v>1875</v>
      </c>
      <c r="AJ1095" s="28">
        <f t="shared" si="59"/>
        <v>0</v>
      </c>
      <c r="AK1095" s="28">
        <f t="shared" si="60"/>
        <v>0</v>
      </c>
      <c r="AL1095" s="28">
        <f t="shared" si="61"/>
        <v>0</v>
      </c>
      <c r="AN1095" s="28">
        <v>21</v>
      </c>
      <c r="AO1095" s="28">
        <f t="shared" si="62"/>
        <v>0</v>
      </c>
      <c r="AP1095" s="28">
        <f t="shared" si="63"/>
        <v>0</v>
      </c>
      <c r="AQ1095" s="30" t="s">
        <v>57</v>
      </c>
      <c r="AV1095" s="28">
        <f t="shared" si="64"/>
        <v>0</v>
      </c>
      <c r="AW1095" s="28">
        <f t="shared" si="65"/>
        <v>0</v>
      </c>
      <c r="AX1095" s="28">
        <f t="shared" si="66"/>
        <v>0</v>
      </c>
      <c r="AY1095" s="30" t="s">
        <v>1959</v>
      </c>
      <c r="AZ1095" s="30" t="s">
        <v>1960</v>
      </c>
      <c r="BA1095" s="10" t="s">
        <v>1881</v>
      </c>
      <c r="BC1095" s="28">
        <f t="shared" si="67"/>
        <v>0</v>
      </c>
      <c r="BD1095" s="28">
        <f t="shared" si="68"/>
        <v>0</v>
      </c>
      <c r="BE1095" s="28">
        <v>0</v>
      </c>
      <c r="BF1095" s="28">
        <f>1095</f>
        <v>1095</v>
      </c>
      <c r="BH1095" s="28">
        <f t="shared" si="69"/>
        <v>0</v>
      </c>
      <c r="BI1095" s="28">
        <f t="shared" si="70"/>
        <v>0</v>
      </c>
      <c r="BJ1095" s="28">
        <f t="shared" si="71"/>
        <v>0</v>
      </c>
      <c r="BK1095" s="28"/>
      <c r="BL1095" s="28">
        <v>5</v>
      </c>
      <c r="BW1095" s="28">
        <v>21</v>
      </c>
    </row>
    <row r="1096" spans="1:75" ht="13.5" customHeight="1" x14ac:dyDescent="0.25">
      <c r="A1096" s="2" t="s">
        <v>1987</v>
      </c>
      <c r="B1096" s="3" t="s">
        <v>1988</v>
      </c>
      <c r="C1096" s="83" t="s">
        <v>1989</v>
      </c>
      <c r="D1096" s="80"/>
      <c r="E1096" s="3" t="s">
        <v>148</v>
      </c>
      <c r="F1096" s="28">
        <v>25</v>
      </c>
      <c r="G1096" s="28">
        <v>0</v>
      </c>
      <c r="H1096" s="28">
        <f t="shared" si="48"/>
        <v>0</v>
      </c>
      <c r="I1096" s="28">
        <f t="shared" si="49"/>
        <v>0</v>
      </c>
      <c r="J1096" s="28">
        <f t="shared" si="50"/>
        <v>0</v>
      </c>
      <c r="K1096" s="29" t="s">
        <v>61</v>
      </c>
      <c r="Z1096" s="28">
        <f t="shared" si="51"/>
        <v>0</v>
      </c>
      <c r="AB1096" s="28">
        <f t="shared" si="52"/>
        <v>0</v>
      </c>
      <c r="AC1096" s="28">
        <f t="shared" si="53"/>
        <v>0</v>
      </c>
      <c r="AD1096" s="28">
        <f t="shared" si="54"/>
        <v>0</v>
      </c>
      <c r="AE1096" s="28">
        <f t="shared" si="55"/>
        <v>0</v>
      </c>
      <c r="AF1096" s="28">
        <f t="shared" si="56"/>
        <v>0</v>
      </c>
      <c r="AG1096" s="28">
        <f t="shared" si="57"/>
        <v>0</v>
      </c>
      <c r="AH1096" s="28">
        <f t="shared" si="58"/>
        <v>0</v>
      </c>
      <c r="AI1096" s="10" t="s">
        <v>1875</v>
      </c>
      <c r="AJ1096" s="28">
        <f t="shared" si="59"/>
        <v>0</v>
      </c>
      <c r="AK1096" s="28">
        <f t="shared" si="60"/>
        <v>0</v>
      </c>
      <c r="AL1096" s="28">
        <f t="shared" si="61"/>
        <v>0</v>
      </c>
      <c r="AN1096" s="28">
        <v>21</v>
      </c>
      <c r="AO1096" s="28">
        <f t="shared" si="62"/>
        <v>0</v>
      </c>
      <c r="AP1096" s="28">
        <f t="shared" si="63"/>
        <v>0</v>
      </c>
      <c r="AQ1096" s="30" t="s">
        <v>57</v>
      </c>
      <c r="AV1096" s="28">
        <f t="shared" si="64"/>
        <v>0</v>
      </c>
      <c r="AW1096" s="28">
        <f t="shared" si="65"/>
        <v>0</v>
      </c>
      <c r="AX1096" s="28">
        <f t="shared" si="66"/>
        <v>0</v>
      </c>
      <c r="AY1096" s="30" t="s">
        <v>1959</v>
      </c>
      <c r="AZ1096" s="30" t="s">
        <v>1960</v>
      </c>
      <c r="BA1096" s="10" t="s">
        <v>1881</v>
      </c>
      <c r="BC1096" s="28">
        <f t="shared" si="67"/>
        <v>0</v>
      </c>
      <c r="BD1096" s="28">
        <f t="shared" si="68"/>
        <v>0</v>
      </c>
      <c r="BE1096" s="28">
        <v>0</v>
      </c>
      <c r="BF1096" s="28">
        <f>1096</f>
        <v>1096</v>
      </c>
      <c r="BH1096" s="28">
        <f t="shared" si="69"/>
        <v>0</v>
      </c>
      <c r="BI1096" s="28">
        <f t="shared" si="70"/>
        <v>0</v>
      </c>
      <c r="BJ1096" s="28">
        <f t="shared" si="71"/>
        <v>0</v>
      </c>
      <c r="BK1096" s="28"/>
      <c r="BL1096" s="28">
        <v>5</v>
      </c>
      <c r="BW1096" s="28">
        <v>21</v>
      </c>
    </row>
    <row r="1097" spans="1:75" ht="13.5" customHeight="1" x14ac:dyDescent="0.25">
      <c r="A1097" s="2" t="s">
        <v>1990</v>
      </c>
      <c r="B1097" s="3" t="s">
        <v>1991</v>
      </c>
      <c r="C1097" s="83" t="s">
        <v>1992</v>
      </c>
      <c r="D1097" s="80"/>
      <c r="E1097" s="3" t="s">
        <v>148</v>
      </c>
      <c r="F1097" s="28">
        <v>4</v>
      </c>
      <c r="G1097" s="28">
        <v>0</v>
      </c>
      <c r="H1097" s="28">
        <f t="shared" si="48"/>
        <v>0</v>
      </c>
      <c r="I1097" s="28">
        <f t="shared" si="49"/>
        <v>0</v>
      </c>
      <c r="J1097" s="28">
        <f t="shared" si="50"/>
        <v>0</v>
      </c>
      <c r="K1097" s="29" t="s">
        <v>61</v>
      </c>
      <c r="Z1097" s="28">
        <f t="shared" si="51"/>
        <v>0</v>
      </c>
      <c r="AB1097" s="28">
        <f t="shared" si="52"/>
        <v>0</v>
      </c>
      <c r="AC1097" s="28">
        <f t="shared" si="53"/>
        <v>0</v>
      </c>
      <c r="AD1097" s="28">
        <f t="shared" si="54"/>
        <v>0</v>
      </c>
      <c r="AE1097" s="28">
        <f t="shared" si="55"/>
        <v>0</v>
      </c>
      <c r="AF1097" s="28">
        <f t="shared" si="56"/>
        <v>0</v>
      </c>
      <c r="AG1097" s="28">
        <f t="shared" si="57"/>
        <v>0</v>
      </c>
      <c r="AH1097" s="28">
        <f t="shared" si="58"/>
        <v>0</v>
      </c>
      <c r="AI1097" s="10" t="s">
        <v>1875</v>
      </c>
      <c r="AJ1097" s="28">
        <f t="shared" si="59"/>
        <v>0</v>
      </c>
      <c r="AK1097" s="28">
        <f t="shared" si="60"/>
        <v>0</v>
      </c>
      <c r="AL1097" s="28">
        <f t="shared" si="61"/>
        <v>0</v>
      </c>
      <c r="AN1097" s="28">
        <v>21</v>
      </c>
      <c r="AO1097" s="28">
        <f t="shared" si="62"/>
        <v>0</v>
      </c>
      <c r="AP1097" s="28">
        <f t="shared" si="63"/>
        <v>0</v>
      </c>
      <c r="AQ1097" s="30" t="s">
        <v>57</v>
      </c>
      <c r="AV1097" s="28">
        <f t="shared" si="64"/>
        <v>0</v>
      </c>
      <c r="AW1097" s="28">
        <f t="shared" si="65"/>
        <v>0</v>
      </c>
      <c r="AX1097" s="28">
        <f t="shared" si="66"/>
        <v>0</v>
      </c>
      <c r="AY1097" s="30" t="s">
        <v>1959</v>
      </c>
      <c r="AZ1097" s="30" t="s">
        <v>1960</v>
      </c>
      <c r="BA1097" s="10" t="s">
        <v>1881</v>
      </c>
      <c r="BC1097" s="28">
        <f t="shared" si="67"/>
        <v>0</v>
      </c>
      <c r="BD1097" s="28">
        <f t="shared" si="68"/>
        <v>0</v>
      </c>
      <c r="BE1097" s="28">
        <v>0</v>
      </c>
      <c r="BF1097" s="28">
        <f>1097</f>
        <v>1097</v>
      </c>
      <c r="BH1097" s="28">
        <f t="shared" si="69"/>
        <v>0</v>
      </c>
      <c r="BI1097" s="28">
        <f t="shared" si="70"/>
        <v>0</v>
      </c>
      <c r="BJ1097" s="28">
        <f t="shared" si="71"/>
        <v>0</v>
      </c>
      <c r="BK1097" s="28"/>
      <c r="BL1097" s="28">
        <v>5</v>
      </c>
      <c r="BW1097" s="28">
        <v>21</v>
      </c>
    </row>
    <row r="1098" spans="1:75" ht="13.5" customHeight="1" x14ac:dyDescent="0.25">
      <c r="A1098" s="2" t="s">
        <v>1993</v>
      </c>
      <c r="B1098" s="3" t="s">
        <v>1994</v>
      </c>
      <c r="C1098" s="83" t="s">
        <v>1995</v>
      </c>
      <c r="D1098" s="80"/>
      <c r="E1098" s="3" t="s">
        <v>531</v>
      </c>
      <c r="F1098" s="28">
        <v>2</v>
      </c>
      <c r="G1098" s="28">
        <v>0</v>
      </c>
      <c r="H1098" s="28">
        <f t="shared" si="48"/>
        <v>0</v>
      </c>
      <c r="I1098" s="28">
        <f t="shared" si="49"/>
        <v>0</v>
      </c>
      <c r="J1098" s="28">
        <f t="shared" si="50"/>
        <v>0</v>
      </c>
      <c r="K1098" s="29" t="s">
        <v>61</v>
      </c>
      <c r="Z1098" s="28">
        <f t="shared" si="51"/>
        <v>0</v>
      </c>
      <c r="AB1098" s="28">
        <f t="shared" si="52"/>
        <v>0</v>
      </c>
      <c r="AC1098" s="28">
        <f t="shared" si="53"/>
        <v>0</v>
      </c>
      <c r="AD1098" s="28">
        <f t="shared" si="54"/>
        <v>0</v>
      </c>
      <c r="AE1098" s="28">
        <f t="shared" si="55"/>
        <v>0</v>
      </c>
      <c r="AF1098" s="28">
        <f t="shared" si="56"/>
        <v>0</v>
      </c>
      <c r="AG1098" s="28">
        <f t="shared" si="57"/>
        <v>0</v>
      </c>
      <c r="AH1098" s="28">
        <f t="shared" si="58"/>
        <v>0</v>
      </c>
      <c r="AI1098" s="10" t="s">
        <v>1875</v>
      </c>
      <c r="AJ1098" s="28">
        <f t="shared" si="59"/>
        <v>0</v>
      </c>
      <c r="AK1098" s="28">
        <f t="shared" si="60"/>
        <v>0</v>
      </c>
      <c r="AL1098" s="28">
        <f t="shared" si="61"/>
        <v>0</v>
      </c>
      <c r="AN1098" s="28">
        <v>21</v>
      </c>
      <c r="AO1098" s="28">
        <f t="shared" si="62"/>
        <v>0</v>
      </c>
      <c r="AP1098" s="28">
        <f t="shared" si="63"/>
        <v>0</v>
      </c>
      <c r="AQ1098" s="30" t="s">
        <v>57</v>
      </c>
      <c r="AV1098" s="28">
        <f t="shared" si="64"/>
        <v>0</v>
      </c>
      <c r="AW1098" s="28">
        <f t="shared" si="65"/>
        <v>0</v>
      </c>
      <c r="AX1098" s="28">
        <f t="shared" si="66"/>
        <v>0</v>
      </c>
      <c r="AY1098" s="30" t="s">
        <v>1959</v>
      </c>
      <c r="AZ1098" s="30" t="s">
        <v>1960</v>
      </c>
      <c r="BA1098" s="10" t="s">
        <v>1881</v>
      </c>
      <c r="BC1098" s="28">
        <f t="shared" si="67"/>
        <v>0</v>
      </c>
      <c r="BD1098" s="28">
        <f t="shared" si="68"/>
        <v>0</v>
      </c>
      <c r="BE1098" s="28">
        <v>0</v>
      </c>
      <c r="BF1098" s="28">
        <f>1098</f>
        <v>1098</v>
      </c>
      <c r="BH1098" s="28">
        <f t="shared" si="69"/>
        <v>0</v>
      </c>
      <c r="BI1098" s="28">
        <f t="shared" si="70"/>
        <v>0</v>
      </c>
      <c r="BJ1098" s="28">
        <f t="shared" si="71"/>
        <v>0</v>
      </c>
      <c r="BK1098" s="28"/>
      <c r="BL1098" s="28">
        <v>5</v>
      </c>
      <c r="BW1098" s="28">
        <v>21</v>
      </c>
    </row>
    <row r="1099" spans="1:75" ht="13.5" customHeight="1" x14ac:dyDescent="0.25">
      <c r="A1099" s="2" t="s">
        <v>1996</v>
      </c>
      <c r="B1099" s="3" t="s">
        <v>1997</v>
      </c>
      <c r="C1099" s="83" t="s">
        <v>1998</v>
      </c>
      <c r="D1099" s="80"/>
      <c r="E1099" s="3" t="s">
        <v>531</v>
      </c>
      <c r="F1099" s="28">
        <v>2</v>
      </c>
      <c r="G1099" s="28">
        <v>0</v>
      </c>
      <c r="H1099" s="28">
        <f t="shared" si="48"/>
        <v>0</v>
      </c>
      <c r="I1099" s="28">
        <f t="shared" si="49"/>
        <v>0</v>
      </c>
      <c r="J1099" s="28">
        <f t="shared" si="50"/>
        <v>0</v>
      </c>
      <c r="K1099" s="29" t="s">
        <v>61</v>
      </c>
      <c r="Z1099" s="28">
        <f t="shared" si="51"/>
        <v>0</v>
      </c>
      <c r="AB1099" s="28">
        <f t="shared" si="52"/>
        <v>0</v>
      </c>
      <c r="AC1099" s="28">
        <f t="shared" si="53"/>
        <v>0</v>
      </c>
      <c r="AD1099" s="28">
        <f t="shared" si="54"/>
        <v>0</v>
      </c>
      <c r="AE1099" s="28">
        <f t="shared" si="55"/>
        <v>0</v>
      </c>
      <c r="AF1099" s="28">
        <f t="shared" si="56"/>
        <v>0</v>
      </c>
      <c r="AG1099" s="28">
        <f t="shared" si="57"/>
        <v>0</v>
      </c>
      <c r="AH1099" s="28">
        <f t="shared" si="58"/>
        <v>0</v>
      </c>
      <c r="AI1099" s="10" t="s">
        <v>1875</v>
      </c>
      <c r="AJ1099" s="28">
        <f t="shared" si="59"/>
        <v>0</v>
      </c>
      <c r="AK1099" s="28">
        <f t="shared" si="60"/>
        <v>0</v>
      </c>
      <c r="AL1099" s="28">
        <f t="shared" si="61"/>
        <v>0</v>
      </c>
      <c r="AN1099" s="28">
        <v>21</v>
      </c>
      <c r="AO1099" s="28">
        <f t="shared" si="62"/>
        <v>0</v>
      </c>
      <c r="AP1099" s="28">
        <f t="shared" si="63"/>
        <v>0</v>
      </c>
      <c r="AQ1099" s="30" t="s">
        <v>57</v>
      </c>
      <c r="AV1099" s="28">
        <f t="shared" si="64"/>
        <v>0</v>
      </c>
      <c r="AW1099" s="28">
        <f t="shared" si="65"/>
        <v>0</v>
      </c>
      <c r="AX1099" s="28">
        <f t="shared" si="66"/>
        <v>0</v>
      </c>
      <c r="AY1099" s="30" t="s">
        <v>1959</v>
      </c>
      <c r="AZ1099" s="30" t="s">
        <v>1960</v>
      </c>
      <c r="BA1099" s="10" t="s">
        <v>1881</v>
      </c>
      <c r="BC1099" s="28">
        <f t="shared" si="67"/>
        <v>0</v>
      </c>
      <c r="BD1099" s="28">
        <f t="shared" si="68"/>
        <v>0</v>
      </c>
      <c r="BE1099" s="28">
        <v>0</v>
      </c>
      <c r="BF1099" s="28">
        <f>1099</f>
        <v>1099</v>
      </c>
      <c r="BH1099" s="28">
        <f t="shared" si="69"/>
        <v>0</v>
      </c>
      <c r="BI1099" s="28">
        <f t="shared" si="70"/>
        <v>0</v>
      </c>
      <c r="BJ1099" s="28">
        <f t="shared" si="71"/>
        <v>0</v>
      </c>
      <c r="BK1099" s="28"/>
      <c r="BL1099" s="28">
        <v>5</v>
      </c>
      <c r="BW1099" s="28">
        <v>21</v>
      </c>
    </row>
    <row r="1100" spans="1:75" ht="27" customHeight="1" x14ac:dyDescent="0.25">
      <c r="A1100" s="2" t="s">
        <v>1999</v>
      </c>
      <c r="B1100" s="3" t="s">
        <v>2000</v>
      </c>
      <c r="C1100" s="83" t="s">
        <v>2001</v>
      </c>
      <c r="D1100" s="80"/>
      <c r="E1100" s="3" t="s">
        <v>531</v>
      </c>
      <c r="F1100" s="28">
        <v>2</v>
      </c>
      <c r="G1100" s="28">
        <v>0</v>
      </c>
      <c r="H1100" s="28">
        <f t="shared" si="48"/>
        <v>0</v>
      </c>
      <c r="I1100" s="28">
        <f t="shared" si="49"/>
        <v>0</v>
      </c>
      <c r="J1100" s="28">
        <f t="shared" si="50"/>
        <v>0</v>
      </c>
      <c r="K1100" s="29" t="s">
        <v>61</v>
      </c>
      <c r="Z1100" s="28">
        <f t="shared" si="51"/>
        <v>0</v>
      </c>
      <c r="AB1100" s="28">
        <f t="shared" si="52"/>
        <v>0</v>
      </c>
      <c r="AC1100" s="28">
        <f t="shared" si="53"/>
        <v>0</v>
      </c>
      <c r="AD1100" s="28">
        <f t="shared" si="54"/>
        <v>0</v>
      </c>
      <c r="AE1100" s="28">
        <f t="shared" si="55"/>
        <v>0</v>
      </c>
      <c r="AF1100" s="28">
        <f t="shared" si="56"/>
        <v>0</v>
      </c>
      <c r="AG1100" s="28">
        <f t="shared" si="57"/>
        <v>0</v>
      </c>
      <c r="AH1100" s="28">
        <f t="shared" si="58"/>
        <v>0</v>
      </c>
      <c r="AI1100" s="10" t="s">
        <v>1875</v>
      </c>
      <c r="AJ1100" s="28">
        <f t="shared" si="59"/>
        <v>0</v>
      </c>
      <c r="AK1100" s="28">
        <f t="shared" si="60"/>
        <v>0</v>
      </c>
      <c r="AL1100" s="28">
        <f t="shared" si="61"/>
        <v>0</v>
      </c>
      <c r="AN1100" s="28">
        <v>21</v>
      </c>
      <c r="AO1100" s="28">
        <f t="shared" si="62"/>
        <v>0</v>
      </c>
      <c r="AP1100" s="28">
        <f t="shared" si="63"/>
        <v>0</v>
      </c>
      <c r="AQ1100" s="30" t="s">
        <v>57</v>
      </c>
      <c r="AV1100" s="28">
        <f t="shared" si="64"/>
        <v>0</v>
      </c>
      <c r="AW1100" s="28">
        <f t="shared" si="65"/>
        <v>0</v>
      </c>
      <c r="AX1100" s="28">
        <f t="shared" si="66"/>
        <v>0</v>
      </c>
      <c r="AY1100" s="30" t="s">
        <v>1959</v>
      </c>
      <c r="AZ1100" s="30" t="s">
        <v>1960</v>
      </c>
      <c r="BA1100" s="10" t="s">
        <v>1881</v>
      </c>
      <c r="BC1100" s="28">
        <f t="shared" si="67"/>
        <v>0</v>
      </c>
      <c r="BD1100" s="28">
        <f t="shared" si="68"/>
        <v>0</v>
      </c>
      <c r="BE1100" s="28">
        <v>0</v>
      </c>
      <c r="BF1100" s="28">
        <f>1100</f>
        <v>1100</v>
      </c>
      <c r="BH1100" s="28">
        <f t="shared" si="69"/>
        <v>0</v>
      </c>
      <c r="BI1100" s="28">
        <f t="shared" si="70"/>
        <v>0</v>
      </c>
      <c r="BJ1100" s="28">
        <f t="shared" si="71"/>
        <v>0</v>
      </c>
      <c r="BK1100" s="28"/>
      <c r="BL1100" s="28">
        <v>5</v>
      </c>
      <c r="BW1100" s="28">
        <v>21</v>
      </c>
    </row>
    <row r="1101" spans="1:75" ht="13.5" customHeight="1" x14ac:dyDescent="0.25">
      <c r="A1101" s="2" t="s">
        <v>2002</v>
      </c>
      <c r="B1101" s="3" t="s">
        <v>2003</v>
      </c>
      <c r="C1101" s="83" t="s">
        <v>2004</v>
      </c>
      <c r="D1101" s="80"/>
      <c r="E1101" s="3" t="s">
        <v>531</v>
      </c>
      <c r="F1101" s="28">
        <v>2</v>
      </c>
      <c r="G1101" s="28">
        <v>0</v>
      </c>
      <c r="H1101" s="28">
        <f t="shared" si="48"/>
        <v>0</v>
      </c>
      <c r="I1101" s="28">
        <f t="shared" si="49"/>
        <v>0</v>
      </c>
      <c r="J1101" s="28">
        <f t="shared" si="50"/>
        <v>0</v>
      </c>
      <c r="K1101" s="29" t="s">
        <v>61</v>
      </c>
      <c r="Z1101" s="28">
        <f t="shared" si="51"/>
        <v>0</v>
      </c>
      <c r="AB1101" s="28">
        <f t="shared" si="52"/>
        <v>0</v>
      </c>
      <c r="AC1101" s="28">
        <f t="shared" si="53"/>
        <v>0</v>
      </c>
      <c r="AD1101" s="28">
        <f t="shared" si="54"/>
        <v>0</v>
      </c>
      <c r="AE1101" s="28">
        <f t="shared" si="55"/>
        <v>0</v>
      </c>
      <c r="AF1101" s="28">
        <f t="shared" si="56"/>
        <v>0</v>
      </c>
      <c r="AG1101" s="28">
        <f t="shared" si="57"/>
        <v>0</v>
      </c>
      <c r="AH1101" s="28">
        <f t="shared" si="58"/>
        <v>0</v>
      </c>
      <c r="AI1101" s="10" t="s">
        <v>1875</v>
      </c>
      <c r="AJ1101" s="28">
        <f t="shared" si="59"/>
        <v>0</v>
      </c>
      <c r="AK1101" s="28">
        <f t="shared" si="60"/>
        <v>0</v>
      </c>
      <c r="AL1101" s="28">
        <f t="shared" si="61"/>
        <v>0</v>
      </c>
      <c r="AN1101" s="28">
        <v>21</v>
      </c>
      <c r="AO1101" s="28">
        <f t="shared" si="62"/>
        <v>0</v>
      </c>
      <c r="AP1101" s="28">
        <f t="shared" si="63"/>
        <v>0</v>
      </c>
      <c r="AQ1101" s="30" t="s">
        <v>57</v>
      </c>
      <c r="AV1101" s="28">
        <f t="shared" si="64"/>
        <v>0</v>
      </c>
      <c r="AW1101" s="28">
        <f t="shared" si="65"/>
        <v>0</v>
      </c>
      <c r="AX1101" s="28">
        <f t="shared" si="66"/>
        <v>0</v>
      </c>
      <c r="AY1101" s="30" t="s">
        <v>1959</v>
      </c>
      <c r="AZ1101" s="30" t="s">
        <v>1960</v>
      </c>
      <c r="BA1101" s="10" t="s">
        <v>1881</v>
      </c>
      <c r="BC1101" s="28">
        <f t="shared" si="67"/>
        <v>0</v>
      </c>
      <c r="BD1101" s="28">
        <f t="shared" si="68"/>
        <v>0</v>
      </c>
      <c r="BE1101" s="28">
        <v>0</v>
      </c>
      <c r="BF1101" s="28">
        <f>1101</f>
        <v>1101</v>
      </c>
      <c r="BH1101" s="28">
        <f t="shared" si="69"/>
        <v>0</v>
      </c>
      <c r="BI1101" s="28">
        <f t="shared" si="70"/>
        <v>0</v>
      </c>
      <c r="BJ1101" s="28">
        <f t="shared" si="71"/>
        <v>0</v>
      </c>
      <c r="BK1101" s="28"/>
      <c r="BL1101" s="28">
        <v>5</v>
      </c>
      <c r="BW1101" s="28">
        <v>21</v>
      </c>
    </row>
    <row r="1102" spans="1:75" ht="13.5" customHeight="1" x14ac:dyDescent="0.25">
      <c r="A1102" s="2" t="s">
        <v>2005</v>
      </c>
      <c r="B1102" s="3" t="s">
        <v>2006</v>
      </c>
      <c r="C1102" s="83" t="s">
        <v>2007</v>
      </c>
      <c r="D1102" s="80"/>
      <c r="E1102" s="3" t="s">
        <v>1869</v>
      </c>
      <c r="F1102" s="28">
        <v>68</v>
      </c>
      <c r="G1102" s="28">
        <v>0</v>
      </c>
      <c r="H1102" s="28">
        <f t="shared" si="48"/>
        <v>0</v>
      </c>
      <c r="I1102" s="28">
        <f t="shared" si="49"/>
        <v>0</v>
      </c>
      <c r="J1102" s="28">
        <f t="shared" si="50"/>
        <v>0</v>
      </c>
      <c r="K1102" s="29" t="s">
        <v>52</v>
      </c>
      <c r="Z1102" s="28">
        <f t="shared" si="51"/>
        <v>0</v>
      </c>
      <c r="AB1102" s="28">
        <f t="shared" si="52"/>
        <v>0</v>
      </c>
      <c r="AC1102" s="28">
        <f t="shared" si="53"/>
        <v>0</v>
      </c>
      <c r="AD1102" s="28">
        <f t="shared" si="54"/>
        <v>0</v>
      </c>
      <c r="AE1102" s="28">
        <f t="shared" si="55"/>
        <v>0</v>
      </c>
      <c r="AF1102" s="28">
        <f t="shared" si="56"/>
        <v>0</v>
      </c>
      <c r="AG1102" s="28">
        <f t="shared" si="57"/>
        <v>0</v>
      </c>
      <c r="AH1102" s="28">
        <f t="shared" si="58"/>
        <v>0</v>
      </c>
      <c r="AI1102" s="10" t="s">
        <v>1875</v>
      </c>
      <c r="AJ1102" s="28">
        <f t="shared" si="59"/>
        <v>0</v>
      </c>
      <c r="AK1102" s="28">
        <f t="shared" si="60"/>
        <v>0</v>
      </c>
      <c r="AL1102" s="28">
        <f t="shared" si="61"/>
        <v>0</v>
      </c>
      <c r="AN1102" s="28">
        <v>21</v>
      </c>
      <c r="AO1102" s="28">
        <f>G1102*0</f>
        <v>0</v>
      </c>
      <c r="AP1102" s="28">
        <f>G1102*(1-0)</f>
        <v>0</v>
      </c>
      <c r="AQ1102" s="30" t="s">
        <v>57</v>
      </c>
      <c r="AV1102" s="28">
        <f t="shared" si="64"/>
        <v>0</v>
      </c>
      <c r="AW1102" s="28">
        <f t="shared" si="65"/>
        <v>0</v>
      </c>
      <c r="AX1102" s="28">
        <f t="shared" si="66"/>
        <v>0</v>
      </c>
      <c r="AY1102" s="30" t="s">
        <v>1959</v>
      </c>
      <c r="AZ1102" s="30" t="s">
        <v>1960</v>
      </c>
      <c r="BA1102" s="10" t="s">
        <v>1881</v>
      </c>
      <c r="BC1102" s="28">
        <f t="shared" si="67"/>
        <v>0</v>
      </c>
      <c r="BD1102" s="28">
        <f t="shared" si="68"/>
        <v>0</v>
      </c>
      <c r="BE1102" s="28">
        <v>0</v>
      </c>
      <c r="BF1102" s="28">
        <f>1102</f>
        <v>1102</v>
      </c>
      <c r="BH1102" s="28">
        <f t="shared" si="69"/>
        <v>0</v>
      </c>
      <c r="BI1102" s="28">
        <f t="shared" si="70"/>
        <v>0</v>
      </c>
      <c r="BJ1102" s="28">
        <f t="shared" si="71"/>
        <v>0</v>
      </c>
      <c r="BK1102" s="28"/>
      <c r="BL1102" s="28">
        <v>5</v>
      </c>
      <c r="BW1102" s="28">
        <v>21</v>
      </c>
    </row>
    <row r="1103" spans="1:75" ht="13.5" customHeight="1" x14ac:dyDescent="0.25">
      <c r="A1103" s="2" t="s">
        <v>2008</v>
      </c>
      <c r="B1103" s="3" t="s">
        <v>2009</v>
      </c>
      <c r="C1103" s="83" t="s">
        <v>1925</v>
      </c>
      <c r="D1103" s="80"/>
      <c r="E1103" s="3" t="s">
        <v>531</v>
      </c>
      <c r="F1103" s="28">
        <v>1</v>
      </c>
      <c r="G1103" s="28">
        <v>0</v>
      </c>
      <c r="H1103" s="28">
        <f t="shared" si="48"/>
        <v>0</v>
      </c>
      <c r="I1103" s="28">
        <f t="shared" si="49"/>
        <v>0</v>
      </c>
      <c r="J1103" s="28">
        <f t="shared" si="50"/>
        <v>0</v>
      </c>
      <c r="K1103" s="29" t="s">
        <v>52</v>
      </c>
      <c r="Z1103" s="28">
        <f t="shared" si="51"/>
        <v>0</v>
      </c>
      <c r="AB1103" s="28">
        <f t="shared" si="52"/>
        <v>0</v>
      </c>
      <c r="AC1103" s="28">
        <f t="shared" si="53"/>
        <v>0</v>
      </c>
      <c r="AD1103" s="28">
        <f t="shared" si="54"/>
        <v>0</v>
      </c>
      <c r="AE1103" s="28">
        <f t="shared" si="55"/>
        <v>0</v>
      </c>
      <c r="AF1103" s="28">
        <f t="shared" si="56"/>
        <v>0</v>
      </c>
      <c r="AG1103" s="28">
        <f t="shared" si="57"/>
        <v>0</v>
      </c>
      <c r="AH1103" s="28">
        <f t="shared" si="58"/>
        <v>0</v>
      </c>
      <c r="AI1103" s="10" t="s">
        <v>1875</v>
      </c>
      <c r="AJ1103" s="28">
        <f t="shared" si="59"/>
        <v>0</v>
      </c>
      <c r="AK1103" s="28">
        <f t="shared" si="60"/>
        <v>0</v>
      </c>
      <c r="AL1103" s="28">
        <f t="shared" si="61"/>
        <v>0</v>
      </c>
      <c r="AN1103" s="28">
        <v>21</v>
      </c>
      <c r="AO1103" s="28">
        <f>G1103*0.754826846</f>
        <v>0</v>
      </c>
      <c r="AP1103" s="28">
        <f>G1103*(1-0.754826846)</f>
        <v>0</v>
      </c>
      <c r="AQ1103" s="30" t="s">
        <v>57</v>
      </c>
      <c r="AV1103" s="28">
        <f t="shared" si="64"/>
        <v>0</v>
      </c>
      <c r="AW1103" s="28">
        <f t="shared" si="65"/>
        <v>0</v>
      </c>
      <c r="AX1103" s="28">
        <f t="shared" si="66"/>
        <v>0</v>
      </c>
      <c r="AY1103" s="30" t="s">
        <v>1959</v>
      </c>
      <c r="AZ1103" s="30" t="s">
        <v>1960</v>
      </c>
      <c r="BA1103" s="10" t="s">
        <v>1881</v>
      </c>
      <c r="BC1103" s="28">
        <f t="shared" si="67"/>
        <v>0</v>
      </c>
      <c r="BD1103" s="28">
        <f t="shared" si="68"/>
        <v>0</v>
      </c>
      <c r="BE1103" s="28">
        <v>0</v>
      </c>
      <c r="BF1103" s="28">
        <f>1103</f>
        <v>1103</v>
      </c>
      <c r="BH1103" s="28">
        <f t="shared" si="69"/>
        <v>0</v>
      </c>
      <c r="BI1103" s="28">
        <f t="shared" si="70"/>
        <v>0</v>
      </c>
      <c r="BJ1103" s="28">
        <f t="shared" si="71"/>
        <v>0</v>
      </c>
      <c r="BK1103" s="28"/>
      <c r="BL1103" s="28">
        <v>5</v>
      </c>
      <c r="BW1103" s="28">
        <v>21</v>
      </c>
    </row>
    <row r="1104" spans="1:75" x14ac:dyDescent="0.25">
      <c r="A1104" s="24" t="s">
        <v>52</v>
      </c>
      <c r="B1104" s="25" t="s">
        <v>2010</v>
      </c>
      <c r="C1104" s="139" t="s">
        <v>2011</v>
      </c>
      <c r="D1104" s="140"/>
      <c r="E1104" s="26" t="s">
        <v>4</v>
      </c>
      <c r="F1104" s="26" t="s">
        <v>4</v>
      </c>
      <c r="G1104" s="26" t="s">
        <v>4</v>
      </c>
      <c r="H1104" s="1">
        <f>SUM(H1105:H1107)</f>
        <v>0</v>
      </c>
      <c r="I1104" s="1">
        <f>SUM(I1105:I1107)</f>
        <v>0</v>
      </c>
      <c r="J1104" s="1">
        <f>SUM(J1105:J1107)</f>
        <v>0</v>
      </c>
      <c r="K1104" s="27" t="s">
        <v>52</v>
      </c>
      <c r="AI1104" s="10" t="s">
        <v>1875</v>
      </c>
      <c r="AS1104" s="1">
        <f>SUM(AJ1105:AJ1107)</f>
        <v>0</v>
      </c>
      <c r="AT1104" s="1">
        <f>SUM(AK1105:AK1107)</f>
        <v>0</v>
      </c>
      <c r="AU1104" s="1">
        <f>SUM(AL1105:AL1107)</f>
        <v>0</v>
      </c>
    </row>
    <row r="1105" spans="1:75" ht="13.5" customHeight="1" x14ac:dyDescent="0.25">
      <c r="A1105" s="2" t="s">
        <v>2012</v>
      </c>
      <c r="B1105" s="3" t="s">
        <v>2013</v>
      </c>
      <c r="C1105" s="83" t="s">
        <v>2014</v>
      </c>
      <c r="D1105" s="80"/>
      <c r="E1105" s="3" t="s">
        <v>531</v>
      </c>
      <c r="F1105" s="28">
        <v>1</v>
      </c>
      <c r="G1105" s="28">
        <v>0</v>
      </c>
      <c r="H1105" s="28">
        <f>F1105*AO1105</f>
        <v>0</v>
      </c>
      <c r="I1105" s="28">
        <f>F1105*AP1105</f>
        <v>0</v>
      </c>
      <c r="J1105" s="28">
        <f>F1105*G1105</f>
        <v>0</v>
      </c>
      <c r="K1105" s="29" t="s">
        <v>52</v>
      </c>
      <c r="Z1105" s="28">
        <f>IF(AQ1105="5",BJ1105,0)</f>
        <v>0</v>
      </c>
      <c r="AB1105" s="28">
        <f>IF(AQ1105="1",BH1105,0)</f>
        <v>0</v>
      </c>
      <c r="AC1105" s="28">
        <f>IF(AQ1105="1",BI1105,0)</f>
        <v>0</v>
      </c>
      <c r="AD1105" s="28">
        <f>IF(AQ1105="7",BH1105,0)</f>
        <v>0</v>
      </c>
      <c r="AE1105" s="28">
        <f>IF(AQ1105="7",BI1105,0)</f>
        <v>0</v>
      </c>
      <c r="AF1105" s="28">
        <f>IF(AQ1105="2",BH1105,0)</f>
        <v>0</v>
      </c>
      <c r="AG1105" s="28">
        <f>IF(AQ1105="2",BI1105,0)</f>
        <v>0</v>
      </c>
      <c r="AH1105" s="28">
        <f>IF(AQ1105="0",BJ1105,0)</f>
        <v>0</v>
      </c>
      <c r="AI1105" s="10" t="s">
        <v>1875</v>
      </c>
      <c r="AJ1105" s="28">
        <f>IF(AN1105=0,J1105,0)</f>
        <v>0</v>
      </c>
      <c r="AK1105" s="28">
        <f>IF(AN1105=12,J1105,0)</f>
        <v>0</v>
      </c>
      <c r="AL1105" s="28">
        <f>IF(AN1105=21,J1105,0)</f>
        <v>0</v>
      </c>
      <c r="AN1105" s="28">
        <v>21</v>
      </c>
      <c r="AO1105" s="28">
        <f>G1105*0.094670075</f>
        <v>0</v>
      </c>
      <c r="AP1105" s="28">
        <f>G1105*(1-0.094670075)</f>
        <v>0</v>
      </c>
      <c r="AQ1105" s="30" t="s">
        <v>57</v>
      </c>
      <c r="AV1105" s="28">
        <f>AW1105+AX1105</f>
        <v>0</v>
      </c>
      <c r="AW1105" s="28">
        <f>F1105*AO1105</f>
        <v>0</v>
      </c>
      <c r="AX1105" s="28">
        <f>F1105*AP1105</f>
        <v>0</v>
      </c>
      <c r="AY1105" s="30" t="s">
        <v>2015</v>
      </c>
      <c r="AZ1105" s="30" t="s">
        <v>2016</v>
      </c>
      <c r="BA1105" s="10" t="s">
        <v>1881</v>
      </c>
      <c r="BC1105" s="28">
        <f>AW1105+AX1105</f>
        <v>0</v>
      </c>
      <c r="BD1105" s="28">
        <f>G1105/(100-BE1105)*100</f>
        <v>0</v>
      </c>
      <c r="BE1105" s="28">
        <v>0</v>
      </c>
      <c r="BF1105" s="28">
        <f>1105</f>
        <v>1105</v>
      </c>
      <c r="BH1105" s="28">
        <f>F1105*AO1105</f>
        <v>0</v>
      </c>
      <c r="BI1105" s="28">
        <f>F1105*AP1105</f>
        <v>0</v>
      </c>
      <c r="BJ1105" s="28">
        <f>F1105*G1105</f>
        <v>0</v>
      </c>
      <c r="BK1105" s="28"/>
      <c r="BL1105" s="28"/>
      <c r="BW1105" s="28">
        <v>21</v>
      </c>
    </row>
    <row r="1106" spans="1:75" ht="13.5" customHeight="1" x14ac:dyDescent="0.25">
      <c r="A1106" s="2" t="s">
        <v>2017</v>
      </c>
      <c r="B1106" s="3" t="s">
        <v>2018</v>
      </c>
      <c r="C1106" s="83" t="s">
        <v>2019</v>
      </c>
      <c r="D1106" s="80"/>
      <c r="E1106" s="3" t="s">
        <v>531</v>
      </c>
      <c r="F1106" s="28">
        <v>1</v>
      </c>
      <c r="G1106" s="28">
        <v>0</v>
      </c>
      <c r="H1106" s="28">
        <f>F1106*AO1106</f>
        <v>0</v>
      </c>
      <c r="I1106" s="28">
        <f>F1106*AP1106</f>
        <v>0</v>
      </c>
      <c r="J1106" s="28">
        <f>F1106*G1106</f>
        <v>0</v>
      </c>
      <c r="K1106" s="29" t="s">
        <v>52</v>
      </c>
      <c r="Z1106" s="28">
        <f>IF(AQ1106="5",BJ1106,0)</f>
        <v>0</v>
      </c>
      <c r="AB1106" s="28">
        <f>IF(AQ1106="1",BH1106,0)</f>
        <v>0</v>
      </c>
      <c r="AC1106" s="28">
        <f>IF(AQ1106="1",BI1106,0)</f>
        <v>0</v>
      </c>
      <c r="AD1106" s="28">
        <f>IF(AQ1106="7",BH1106,0)</f>
        <v>0</v>
      </c>
      <c r="AE1106" s="28">
        <f>IF(AQ1106="7",BI1106,0)</f>
        <v>0</v>
      </c>
      <c r="AF1106" s="28">
        <f>IF(AQ1106="2",BH1106,0)</f>
        <v>0</v>
      </c>
      <c r="AG1106" s="28">
        <f>IF(AQ1106="2",BI1106,0)</f>
        <v>0</v>
      </c>
      <c r="AH1106" s="28">
        <f>IF(AQ1106="0",BJ1106,0)</f>
        <v>0</v>
      </c>
      <c r="AI1106" s="10" t="s">
        <v>1875</v>
      </c>
      <c r="AJ1106" s="28">
        <f>IF(AN1106=0,J1106,0)</f>
        <v>0</v>
      </c>
      <c r="AK1106" s="28">
        <f>IF(AN1106=12,J1106,0)</f>
        <v>0</v>
      </c>
      <c r="AL1106" s="28">
        <f>IF(AN1106=21,J1106,0)</f>
        <v>0</v>
      </c>
      <c r="AN1106" s="28">
        <v>21</v>
      </c>
      <c r="AO1106" s="28">
        <f>G1106*0</f>
        <v>0</v>
      </c>
      <c r="AP1106" s="28">
        <f>G1106*(1-0)</f>
        <v>0</v>
      </c>
      <c r="AQ1106" s="30" t="s">
        <v>57</v>
      </c>
      <c r="AV1106" s="28">
        <f>AW1106+AX1106</f>
        <v>0</v>
      </c>
      <c r="AW1106" s="28">
        <f>F1106*AO1106</f>
        <v>0</v>
      </c>
      <c r="AX1106" s="28">
        <f>F1106*AP1106</f>
        <v>0</v>
      </c>
      <c r="AY1106" s="30" t="s">
        <v>2015</v>
      </c>
      <c r="AZ1106" s="30" t="s">
        <v>2016</v>
      </c>
      <c r="BA1106" s="10" t="s">
        <v>1881</v>
      </c>
      <c r="BC1106" s="28">
        <f>AW1106+AX1106</f>
        <v>0</v>
      </c>
      <c r="BD1106" s="28">
        <f>G1106/(100-BE1106)*100</f>
        <v>0</v>
      </c>
      <c r="BE1106" s="28">
        <v>0</v>
      </c>
      <c r="BF1106" s="28">
        <f>1106</f>
        <v>1106</v>
      </c>
      <c r="BH1106" s="28">
        <f>F1106*AO1106</f>
        <v>0</v>
      </c>
      <c r="BI1106" s="28">
        <f>F1106*AP1106</f>
        <v>0</v>
      </c>
      <c r="BJ1106" s="28">
        <f>F1106*G1106</f>
        <v>0</v>
      </c>
      <c r="BK1106" s="28"/>
      <c r="BL1106" s="28"/>
      <c r="BW1106" s="28">
        <v>21</v>
      </c>
    </row>
    <row r="1107" spans="1:75" ht="13.5" customHeight="1" x14ac:dyDescent="0.25">
      <c r="A1107" s="2" t="s">
        <v>2020</v>
      </c>
      <c r="B1107" s="3" t="s">
        <v>2021</v>
      </c>
      <c r="C1107" s="83" t="s">
        <v>2022</v>
      </c>
      <c r="D1107" s="80"/>
      <c r="E1107" s="3" t="s">
        <v>531</v>
      </c>
      <c r="F1107" s="28">
        <v>1</v>
      </c>
      <c r="G1107" s="28">
        <v>0</v>
      </c>
      <c r="H1107" s="28">
        <f>F1107*AO1107</f>
        <v>0</v>
      </c>
      <c r="I1107" s="28">
        <f>F1107*AP1107</f>
        <v>0</v>
      </c>
      <c r="J1107" s="28">
        <f>F1107*G1107</f>
        <v>0</v>
      </c>
      <c r="K1107" s="29" t="s">
        <v>52</v>
      </c>
      <c r="Z1107" s="28">
        <f>IF(AQ1107="5",BJ1107,0)</f>
        <v>0</v>
      </c>
      <c r="AB1107" s="28">
        <f>IF(AQ1107="1",BH1107,0)</f>
        <v>0</v>
      </c>
      <c r="AC1107" s="28">
        <f>IF(AQ1107="1",BI1107,0)</f>
        <v>0</v>
      </c>
      <c r="AD1107" s="28">
        <f>IF(AQ1107="7",BH1107,0)</f>
        <v>0</v>
      </c>
      <c r="AE1107" s="28">
        <f>IF(AQ1107="7",BI1107,0)</f>
        <v>0</v>
      </c>
      <c r="AF1107" s="28">
        <f>IF(AQ1107="2",BH1107,0)</f>
        <v>0</v>
      </c>
      <c r="AG1107" s="28">
        <f>IF(AQ1107="2",BI1107,0)</f>
        <v>0</v>
      </c>
      <c r="AH1107" s="28">
        <f>IF(AQ1107="0",BJ1107,0)</f>
        <v>0</v>
      </c>
      <c r="AI1107" s="10" t="s">
        <v>1875</v>
      </c>
      <c r="AJ1107" s="28">
        <f>IF(AN1107=0,J1107,0)</f>
        <v>0</v>
      </c>
      <c r="AK1107" s="28">
        <f>IF(AN1107=12,J1107,0)</f>
        <v>0</v>
      </c>
      <c r="AL1107" s="28">
        <f>IF(AN1107=21,J1107,0)</f>
        <v>0</v>
      </c>
      <c r="AN1107" s="28">
        <v>21</v>
      </c>
      <c r="AO1107" s="28">
        <f>G1107*0</f>
        <v>0</v>
      </c>
      <c r="AP1107" s="28">
        <f>G1107*(1-0)</f>
        <v>0</v>
      </c>
      <c r="AQ1107" s="30" t="s">
        <v>57</v>
      </c>
      <c r="AV1107" s="28">
        <f>AW1107+AX1107</f>
        <v>0</v>
      </c>
      <c r="AW1107" s="28">
        <f>F1107*AO1107</f>
        <v>0</v>
      </c>
      <c r="AX1107" s="28">
        <f>F1107*AP1107</f>
        <v>0</v>
      </c>
      <c r="AY1107" s="30" t="s">
        <v>2015</v>
      </c>
      <c r="AZ1107" s="30" t="s">
        <v>2016</v>
      </c>
      <c r="BA1107" s="10" t="s">
        <v>1881</v>
      </c>
      <c r="BC1107" s="28">
        <f>AW1107+AX1107</f>
        <v>0</v>
      </c>
      <c r="BD1107" s="28">
        <f>G1107/(100-BE1107)*100</f>
        <v>0</v>
      </c>
      <c r="BE1107" s="28">
        <v>0</v>
      </c>
      <c r="BF1107" s="28">
        <f>1107</f>
        <v>1107</v>
      </c>
      <c r="BH1107" s="28">
        <f>F1107*AO1107</f>
        <v>0</v>
      </c>
      <c r="BI1107" s="28">
        <f>F1107*AP1107</f>
        <v>0</v>
      </c>
      <c r="BJ1107" s="28">
        <f>F1107*G1107</f>
        <v>0</v>
      </c>
      <c r="BK1107" s="28"/>
      <c r="BL1107" s="28"/>
      <c r="BW1107" s="28">
        <v>21</v>
      </c>
    </row>
    <row r="1108" spans="1:75" x14ac:dyDescent="0.25">
      <c r="A1108" s="24" t="s">
        <v>52</v>
      </c>
      <c r="B1108" s="25" t="s">
        <v>52</v>
      </c>
      <c r="C1108" s="139" t="s">
        <v>2023</v>
      </c>
      <c r="D1108" s="140"/>
      <c r="E1108" s="26" t="s">
        <v>4</v>
      </c>
      <c r="F1108" s="26" t="s">
        <v>4</v>
      </c>
      <c r="G1108" s="26" t="s">
        <v>4</v>
      </c>
      <c r="H1108" s="1">
        <f>H1109+H1112+H1117+H1120+H1123+H1127+H1130+H1139+H1149+H1153+H1159+H1168+H1172+H1179+H1196+H1217</f>
        <v>0</v>
      </c>
      <c r="I1108" s="1">
        <f>I1109+I1112+I1117+I1120+I1123+I1127+I1130+I1139+I1149+I1153+I1159+I1168+I1172+I1179+I1196+I1217</f>
        <v>0</v>
      </c>
      <c r="J1108" s="1">
        <f>J1109+J1112+J1117+J1120+J1123+J1127+J1130+J1139+J1149+J1153+J1159+J1168+J1172+J1179+J1196+J1217</f>
        <v>0</v>
      </c>
      <c r="K1108" s="27" t="s">
        <v>52</v>
      </c>
    </row>
    <row r="1109" spans="1:75" x14ac:dyDescent="0.25">
      <c r="A1109" s="24" t="s">
        <v>52</v>
      </c>
      <c r="B1109" s="25" t="s">
        <v>129</v>
      </c>
      <c r="C1109" s="139" t="s">
        <v>235</v>
      </c>
      <c r="D1109" s="140"/>
      <c r="E1109" s="26" t="s">
        <v>4</v>
      </c>
      <c r="F1109" s="26" t="s">
        <v>4</v>
      </c>
      <c r="G1109" s="26" t="s">
        <v>4</v>
      </c>
      <c r="H1109" s="1">
        <f>SUM(H1110:H1110)</f>
        <v>0</v>
      </c>
      <c r="I1109" s="1">
        <f>SUM(I1110:I1110)</f>
        <v>0</v>
      </c>
      <c r="J1109" s="1">
        <f>SUM(J1110:J1110)</f>
        <v>0</v>
      </c>
      <c r="K1109" s="27" t="s">
        <v>52</v>
      </c>
      <c r="AI1109" s="10" t="s">
        <v>2024</v>
      </c>
      <c r="AS1109" s="1">
        <f>SUM(AJ1110:AJ1110)</f>
        <v>0</v>
      </c>
      <c r="AT1109" s="1">
        <f>SUM(AK1110:AK1110)</f>
        <v>0</v>
      </c>
      <c r="AU1109" s="1">
        <f>SUM(AL1110:AL1110)</f>
        <v>0</v>
      </c>
    </row>
    <row r="1110" spans="1:75" ht="13.5" customHeight="1" x14ac:dyDescent="0.25">
      <c r="A1110" s="2" t="s">
        <v>2025</v>
      </c>
      <c r="B1110" s="3" t="s">
        <v>2026</v>
      </c>
      <c r="C1110" s="83" t="s">
        <v>2027</v>
      </c>
      <c r="D1110" s="80"/>
      <c r="E1110" s="3" t="s">
        <v>60</v>
      </c>
      <c r="F1110" s="28">
        <v>0.6</v>
      </c>
      <c r="G1110" s="28">
        <v>0</v>
      </c>
      <c r="H1110" s="28">
        <f>F1110*AO1110</f>
        <v>0</v>
      </c>
      <c r="I1110" s="28">
        <f>F1110*AP1110</f>
        <v>0</v>
      </c>
      <c r="J1110" s="28">
        <f>F1110*G1110</f>
        <v>0</v>
      </c>
      <c r="K1110" s="29" t="s">
        <v>61</v>
      </c>
      <c r="Z1110" s="28">
        <f>IF(AQ1110="5",BJ1110,0)</f>
        <v>0</v>
      </c>
      <c r="AB1110" s="28">
        <f>IF(AQ1110="1",BH1110,0)</f>
        <v>0</v>
      </c>
      <c r="AC1110" s="28">
        <f>IF(AQ1110="1",BI1110,0)</f>
        <v>0</v>
      </c>
      <c r="AD1110" s="28">
        <f>IF(AQ1110="7",BH1110,0)</f>
        <v>0</v>
      </c>
      <c r="AE1110" s="28">
        <f>IF(AQ1110="7",BI1110,0)</f>
        <v>0</v>
      </c>
      <c r="AF1110" s="28">
        <f>IF(AQ1110="2",BH1110,0)</f>
        <v>0</v>
      </c>
      <c r="AG1110" s="28">
        <f>IF(AQ1110="2",BI1110,0)</f>
        <v>0</v>
      </c>
      <c r="AH1110" s="28">
        <f>IF(AQ1110="0",BJ1110,0)</f>
        <v>0</v>
      </c>
      <c r="AI1110" s="10" t="s">
        <v>2024</v>
      </c>
      <c r="AJ1110" s="28">
        <f>IF(AN1110=0,J1110,0)</f>
        <v>0</v>
      </c>
      <c r="AK1110" s="28">
        <f>IF(AN1110=12,J1110,0)</f>
        <v>0</v>
      </c>
      <c r="AL1110" s="28">
        <f>IF(AN1110=21,J1110,0)</f>
        <v>0</v>
      </c>
      <c r="AN1110" s="28">
        <v>21</v>
      </c>
      <c r="AO1110" s="28">
        <f>G1110*0</f>
        <v>0</v>
      </c>
      <c r="AP1110" s="28">
        <f>G1110*(1-0)</f>
        <v>0</v>
      </c>
      <c r="AQ1110" s="30" t="s">
        <v>57</v>
      </c>
      <c r="AV1110" s="28">
        <f>AW1110+AX1110</f>
        <v>0</v>
      </c>
      <c r="AW1110" s="28">
        <f>F1110*AO1110</f>
        <v>0</v>
      </c>
      <c r="AX1110" s="28">
        <f>F1110*AP1110</f>
        <v>0</v>
      </c>
      <c r="AY1110" s="30" t="s">
        <v>240</v>
      </c>
      <c r="AZ1110" s="30" t="s">
        <v>2028</v>
      </c>
      <c r="BA1110" s="10" t="s">
        <v>2029</v>
      </c>
      <c r="BC1110" s="28">
        <f>AW1110+AX1110</f>
        <v>0</v>
      </c>
      <c r="BD1110" s="28">
        <f>G1110/(100-BE1110)*100</f>
        <v>0</v>
      </c>
      <c r="BE1110" s="28">
        <v>0</v>
      </c>
      <c r="BF1110" s="28">
        <f>1110</f>
        <v>1110</v>
      </c>
      <c r="BH1110" s="28">
        <f>F1110*AO1110</f>
        <v>0</v>
      </c>
      <c r="BI1110" s="28">
        <f>F1110*AP1110</f>
        <v>0</v>
      </c>
      <c r="BJ1110" s="28">
        <f>F1110*G1110</f>
        <v>0</v>
      </c>
      <c r="BK1110" s="28"/>
      <c r="BL1110" s="28">
        <v>13</v>
      </c>
      <c r="BW1110" s="28">
        <v>21</v>
      </c>
    </row>
    <row r="1111" spans="1:75" x14ac:dyDescent="0.25">
      <c r="A1111" s="31"/>
      <c r="C1111" s="32" t="s">
        <v>2030</v>
      </c>
      <c r="D1111" s="32" t="s">
        <v>2031</v>
      </c>
      <c r="F1111" s="33">
        <v>0.6</v>
      </c>
      <c r="K1111" s="34"/>
    </row>
    <row r="1112" spans="1:75" x14ac:dyDescent="0.25">
      <c r="A1112" s="24" t="s">
        <v>52</v>
      </c>
      <c r="B1112" s="25" t="s">
        <v>145</v>
      </c>
      <c r="C1112" s="139" t="s">
        <v>282</v>
      </c>
      <c r="D1112" s="140"/>
      <c r="E1112" s="26" t="s">
        <v>4</v>
      </c>
      <c r="F1112" s="26" t="s">
        <v>4</v>
      </c>
      <c r="G1112" s="26" t="s">
        <v>4</v>
      </c>
      <c r="H1112" s="1">
        <f>SUM(H1113:H1115)</f>
        <v>0</v>
      </c>
      <c r="I1112" s="1">
        <f>SUM(I1113:I1115)</f>
        <v>0</v>
      </c>
      <c r="J1112" s="1">
        <f>SUM(J1113:J1115)</f>
        <v>0</v>
      </c>
      <c r="K1112" s="27" t="s">
        <v>52</v>
      </c>
      <c r="AI1112" s="10" t="s">
        <v>2024</v>
      </c>
      <c r="AS1112" s="1">
        <f>SUM(AJ1113:AJ1115)</f>
        <v>0</v>
      </c>
      <c r="AT1112" s="1">
        <f>SUM(AK1113:AK1115)</f>
        <v>0</v>
      </c>
      <c r="AU1112" s="1">
        <f>SUM(AL1113:AL1115)</f>
        <v>0</v>
      </c>
    </row>
    <row r="1113" spans="1:75" ht="13.5" customHeight="1" x14ac:dyDescent="0.25">
      <c r="A1113" s="2" t="s">
        <v>2032</v>
      </c>
      <c r="B1113" s="3" t="s">
        <v>2033</v>
      </c>
      <c r="C1113" s="83" t="s">
        <v>2034</v>
      </c>
      <c r="D1113" s="80"/>
      <c r="E1113" s="3" t="s">
        <v>60</v>
      </c>
      <c r="F1113" s="28">
        <v>0.6</v>
      </c>
      <c r="G1113" s="28">
        <v>0</v>
      </c>
      <c r="H1113" s="28">
        <f>F1113*AO1113</f>
        <v>0</v>
      </c>
      <c r="I1113" s="28">
        <f>F1113*AP1113</f>
        <v>0</v>
      </c>
      <c r="J1113" s="28">
        <f>F1113*G1113</f>
        <v>0</v>
      </c>
      <c r="K1113" s="29" t="s">
        <v>1491</v>
      </c>
      <c r="Z1113" s="28">
        <f>IF(AQ1113="5",BJ1113,0)</f>
        <v>0</v>
      </c>
      <c r="AB1113" s="28">
        <f>IF(AQ1113="1",BH1113,0)</f>
        <v>0</v>
      </c>
      <c r="AC1113" s="28">
        <f>IF(AQ1113="1",BI1113,0)</f>
        <v>0</v>
      </c>
      <c r="AD1113" s="28">
        <f>IF(AQ1113="7",BH1113,0)</f>
        <v>0</v>
      </c>
      <c r="AE1113" s="28">
        <f>IF(AQ1113="7",BI1113,0)</f>
        <v>0</v>
      </c>
      <c r="AF1113" s="28">
        <f>IF(AQ1113="2",BH1113,0)</f>
        <v>0</v>
      </c>
      <c r="AG1113" s="28">
        <f>IF(AQ1113="2",BI1113,0)</f>
        <v>0</v>
      </c>
      <c r="AH1113" s="28">
        <f>IF(AQ1113="0",BJ1113,0)</f>
        <v>0</v>
      </c>
      <c r="AI1113" s="10" t="s">
        <v>2024</v>
      </c>
      <c r="AJ1113" s="28">
        <f>IF(AN1113=0,J1113,0)</f>
        <v>0</v>
      </c>
      <c r="AK1113" s="28">
        <f>IF(AN1113=12,J1113,0)</f>
        <v>0</v>
      </c>
      <c r="AL1113" s="28">
        <f>IF(AN1113=21,J1113,0)</f>
        <v>0</v>
      </c>
      <c r="AN1113" s="28">
        <v>21</v>
      </c>
      <c r="AO1113" s="28">
        <f>G1113*0</f>
        <v>0</v>
      </c>
      <c r="AP1113" s="28">
        <f>G1113*(1-0)</f>
        <v>0</v>
      </c>
      <c r="AQ1113" s="30" t="s">
        <v>57</v>
      </c>
      <c r="AV1113" s="28">
        <f>AW1113+AX1113</f>
        <v>0</v>
      </c>
      <c r="AW1113" s="28">
        <f>F1113*AO1113</f>
        <v>0</v>
      </c>
      <c r="AX1113" s="28">
        <f>F1113*AP1113</f>
        <v>0</v>
      </c>
      <c r="AY1113" s="30" t="s">
        <v>286</v>
      </c>
      <c r="AZ1113" s="30" t="s">
        <v>2028</v>
      </c>
      <c r="BA1113" s="10" t="s">
        <v>2029</v>
      </c>
      <c r="BC1113" s="28">
        <f>AW1113+AX1113</f>
        <v>0</v>
      </c>
      <c r="BD1113" s="28">
        <f>G1113/(100-BE1113)*100</f>
        <v>0</v>
      </c>
      <c r="BE1113" s="28">
        <v>0</v>
      </c>
      <c r="BF1113" s="28">
        <f>1113</f>
        <v>1113</v>
      </c>
      <c r="BH1113" s="28">
        <f>F1113*AO1113</f>
        <v>0</v>
      </c>
      <c r="BI1113" s="28">
        <f>F1113*AP1113</f>
        <v>0</v>
      </c>
      <c r="BJ1113" s="28">
        <f>F1113*G1113</f>
        <v>0</v>
      </c>
      <c r="BK1113" s="28"/>
      <c r="BL1113" s="28">
        <v>16</v>
      </c>
      <c r="BW1113" s="28">
        <v>21</v>
      </c>
    </row>
    <row r="1114" spans="1:75" x14ac:dyDescent="0.25">
      <c r="A1114" s="31"/>
      <c r="C1114" s="32" t="s">
        <v>2030</v>
      </c>
      <c r="D1114" s="32" t="s">
        <v>52</v>
      </c>
      <c r="F1114" s="33">
        <v>0.6</v>
      </c>
      <c r="K1114" s="34"/>
    </row>
    <row r="1115" spans="1:75" ht="13.5" customHeight="1" x14ac:dyDescent="0.25">
      <c r="A1115" s="2" t="s">
        <v>2035</v>
      </c>
      <c r="B1115" s="3" t="s">
        <v>2036</v>
      </c>
      <c r="C1115" s="83" t="s">
        <v>2037</v>
      </c>
      <c r="D1115" s="80"/>
      <c r="E1115" s="3" t="s">
        <v>60</v>
      </c>
      <c r="F1115" s="28">
        <v>0.6</v>
      </c>
      <c r="G1115" s="28">
        <v>0</v>
      </c>
      <c r="H1115" s="28">
        <f>F1115*AO1115</f>
        <v>0</v>
      </c>
      <c r="I1115" s="28">
        <f>F1115*AP1115</f>
        <v>0</v>
      </c>
      <c r="J1115" s="28">
        <f>F1115*G1115</f>
        <v>0</v>
      </c>
      <c r="K1115" s="29" t="s">
        <v>1491</v>
      </c>
      <c r="Z1115" s="28">
        <f>IF(AQ1115="5",BJ1115,0)</f>
        <v>0</v>
      </c>
      <c r="AB1115" s="28">
        <f>IF(AQ1115="1",BH1115,0)</f>
        <v>0</v>
      </c>
      <c r="AC1115" s="28">
        <f>IF(AQ1115="1",BI1115,0)</f>
        <v>0</v>
      </c>
      <c r="AD1115" s="28">
        <f>IF(AQ1115="7",BH1115,0)</f>
        <v>0</v>
      </c>
      <c r="AE1115" s="28">
        <f>IF(AQ1115="7",BI1115,0)</f>
        <v>0</v>
      </c>
      <c r="AF1115" s="28">
        <f>IF(AQ1115="2",BH1115,0)</f>
        <v>0</v>
      </c>
      <c r="AG1115" s="28">
        <f>IF(AQ1115="2",BI1115,0)</f>
        <v>0</v>
      </c>
      <c r="AH1115" s="28">
        <f>IF(AQ1115="0",BJ1115,0)</f>
        <v>0</v>
      </c>
      <c r="AI1115" s="10" t="s">
        <v>2024</v>
      </c>
      <c r="AJ1115" s="28">
        <f>IF(AN1115=0,J1115,0)</f>
        <v>0</v>
      </c>
      <c r="AK1115" s="28">
        <f>IF(AN1115=12,J1115,0)</f>
        <v>0</v>
      </c>
      <c r="AL1115" s="28">
        <f>IF(AN1115=21,J1115,0)</f>
        <v>0</v>
      </c>
      <c r="AN1115" s="28">
        <v>21</v>
      </c>
      <c r="AO1115" s="28">
        <f>G1115*0</f>
        <v>0</v>
      </c>
      <c r="AP1115" s="28">
        <f>G1115*(1-0)</f>
        <v>0</v>
      </c>
      <c r="AQ1115" s="30" t="s">
        <v>57</v>
      </c>
      <c r="AV1115" s="28">
        <f>AW1115+AX1115</f>
        <v>0</v>
      </c>
      <c r="AW1115" s="28">
        <f>F1115*AO1115</f>
        <v>0</v>
      </c>
      <c r="AX1115" s="28">
        <f>F1115*AP1115</f>
        <v>0</v>
      </c>
      <c r="AY1115" s="30" t="s">
        <v>286</v>
      </c>
      <c r="AZ1115" s="30" t="s">
        <v>2028</v>
      </c>
      <c r="BA1115" s="10" t="s">
        <v>2029</v>
      </c>
      <c r="BC1115" s="28">
        <f>AW1115+AX1115</f>
        <v>0</v>
      </c>
      <c r="BD1115" s="28">
        <f>G1115/(100-BE1115)*100</f>
        <v>0</v>
      </c>
      <c r="BE1115" s="28">
        <v>0</v>
      </c>
      <c r="BF1115" s="28">
        <f>1115</f>
        <v>1115</v>
      </c>
      <c r="BH1115" s="28">
        <f>F1115*AO1115</f>
        <v>0</v>
      </c>
      <c r="BI1115" s="28">
        <f>F1115*AP1115</f>
        <v>0</v>
      </c>
      <c r="BJ1115" s="28">
        <f>F1115*G1115</f>
        <v>0</v>
      </c>
      <c r="BK1115" s="28"/>
      <c r="BL1115" s="28">
        <v>16</v>
      </c>
      <c r="BW1115" s="28">
        <v>21</v>
      </c>
    </row>
    <row r="1116" spans="1:75" x14ac:dyDescent="0.25">
      <c r="A1116" s="31"/>
      <c r="C1116" s="32" t="s">
        <v>2030</v>
      </c>
      <c r="D1116" s="32" t="s">
        <v>52</v>
      </c>
      <c r="F1116" s="33">
        <v>0.6</v>
      </c>
      <c r="K1116" s="34"/>
    </row>
    <row r="1117" spans="1:75" x14ac:dyDescent="0.25">
      <c r="A1117" s="24" t="s">
        <v>52</v>
      </c>
      <c r="B1117" s="25" t="s">
        <v>54</v>
      </c>
      <c r="C1117" s="139" t="s">
        <v>55</v>
      </c>
      <c r="D1117" s="140"/>
      <c r="E1117" s="26" t="s">
        <v>4</v>
      </c>
      <c r="F1117" s="26" t="s">
        <v>4</v>
      </c>
      <c r="G1117" s="26" t="s">
        <v>4</v>
      </c>
      <c r="H1117" s="1">
        <f>SUM(H1118:H1118)</f>
        <v>0</v>
      </c>
      <c r="I1117" s="1">
        <f>SUM(I1118:I1118)</f>
        <v>0</v>
      </c>
      <c r="J1117" s="1">
        <f>SUM(J1118:J1118)</f>
        <v>0</v>
      </c>
      <c r="K1117" s="27" t="s">
        <v>52</v>
      </c>
      <c r="AI1117" s="10" t="s">
        <v>2024</v>
      </c>
      <c r="AS1117" s="1">
        <f>SUM(AJ1118:AJ1118)</f>
        <v>0</v>
      </c>
      <c r="AT1117" s="1">
        <f>SUM(AK1118:AK1118)</f>
        <v>0</v>
      </c>
      <c r="AU1117" s="1">
        <f>SUM(AL1118:AL1118)</f>
        <v>0</v>
      </c>
    </row>
    <row r="1118" spans="1:75" ht="13.5" customHeight="1" x14ac:dyDescent="0.25">
      <c r="A1118" s="2" t="s">
        <v>2038</v>
      </c>
      <c r="B1118" s="3" t="s">
        <v>58</v>
      </c>
      <c r="C1118" s="83" t="s">
        <v>2039</v>
      </c>
      <c r="D1118" s="80"/>
      <c r="E1118" s="3" t="s">
        <v>60</v>
      </c>
      <c r="F1118" s="28">
        <v>0.6</v>
      </c>
      <c r="G1118" s="28">
        <v>0</v>
      </c>
      <c r="H1118" s="28">
        <f>F1118*AO1118</f>
        <v>0</v>
      </c>
      <c r="I1118" s="28">
        <f>F1118*AP1118</f>
        <v>0</v>
      </c>
      <c r="J1118" s="28">
        <f>F1118*G1118</f>
        <v>0</v>
      </c>
      <c r="K1118" s="29" t="s">
        <v>1491</v>
      </c>
      <c r="Z1118" s="28">
        <f>IF(AQ1118="5",BJ1118,0)</f>
        <v>0</v>
      </c>
      <c r="AB1118" s="28">
        <f>IF(AQ1118="1",BH1118,0)</f>
        <v>0</v>
      </c>
      <c r="AC1118" s="28">
        <f>IF(AQ1118="1",BI1118,0)</f>
        <v>0</v>
      </c>
      <c r="AD1118" s="28">
        <f>IF(AQ1118="7",BH1118,0)</f>
        <v>0</v>
      </c>
      <c r="AE1118" s="28">
        <f>IF(AQ1118="7",BI1118,0)</f>
        <v>0</v>
      </c>
      <c r="AF1118" s="28">
        <f>IF(AQ1118="2",BH1118,0)</f>
        <v>0</v>
      </c>
      <c r="AG1118" s="28">
        <f>IF(AQ1118="2",BI1118,0)</f>
        <v>0</v>
      </c>
      <c r="AH1118" s="28">
        <f>IF(AQ1118="0",BJ1118,0)</f>
        <v>0</v>
      </c>
      <c r="AI1118" s="10" t="s">
        <v>2024</v>
      </c>
      <c r="AJ1118" s="28">
        <f>IF(AN1118=0,J1118,0)</f>
        <v>0</v>
      </c>
      <c r="AK1118" s="28">
        <f>IF(AN1118=12,J1118,0)</f>
        <v>0</v>
      </c>
      <c r="AL1118" s="28">
        <f>IF(AN1118=21,J1118,0)</f>
        <v>0</v>
      </c>
      <c r="AN1118" s="28">
        <v>21</v>
      </c>
      <c r="AO1118" s="28">
        <f>G1118*0</f>
        <v>0</v>
      </c>
      <c r="AP1118" s="28">
        <f>G1118*(1-0)</f>
        <v>0</v>
      </c>
      <c r="AQ1118" s="30" t="s">
        <v>57</v>
      </c>
      <c r="AV1118" s="28">
        <f>AW1118+AX1118</f>
        <v>0</v>
      </c>
      <c r="AW1118" s="28">
        <f>F1118*AO1118</f>
        <v>0</v>
      </c>
      <c r="AX1118" s="28">
        <f>F1118*AP1118</f>
        <v>0</v>
      </c>
      <c r="AY1118" s="30" t="s">
        <v>62</v>
      </c>
      <c r="AZ1118" s="30" t="s">
        <v>2028</v>
      </c>
      <c r="BA1118" s="10" t="s">
        <v>2029</v>
      </c>
      <c r="BC1118" s="28">
        <f>AW1118+AX1118</f>
        <v>0</v>
      </c>
      <c r="BD1118" s="28">
        <f>G1118/(100-BE1118)*100</f>
        <v>0</v>
      </c>
      <c r="BE1118" s="28">
        <v>0</v>
      </c>
      <c r="BF1118" s="28">
        <f>1118</f>
        <v>1118</v>
      </c>
      <c r="BH1118" s="28">
        <f>F1118*AO1118</f>
        <v>0</v>
      </c>
      <c r="BI1118" s="28">
        <f>F1118*AP1118</f>
        <v>0</v>
      </c>
      <c r="BJ1118" s="28">
        <f>F1118*G1118</f>
        <v>0</v>
      </c>
      <c r="BK1118" s="28"/>
      <c r="BL1118" s="28">
        <v>17</v>
      </c>
      <c r="BW1118" s="28">
        <v>21</v>
      </c>
    </row>
    <row r="1119" spans="1:75" x14ac:dyDescent="0.25">
      <c r="A1119" s="31"/>
      <c r="C1119" s="32" t="s">
        <v>2030</v>
      </c>
      <c r="D1119" s="32" t="s">
        <v>52</v>
      </c>
      <c r="F1119" s="33">
        <v>0.6</v>
      </c>
      <c r="K1119" s="34"/>
    </row>
    <row r="1120" spans="1:75" x14ac:dyDescent="0.25">
      <c r="A1120" s="24" t="s">
        <v>52</v>
      </c>
      <c r="B1120" s="25" t="s">
        <v>2040</v>
      </c>
      <c r="C1120" s="139" t="s">
        <v>2041</v>
      </c>
      <c r="D1120" s="140"/>
      <c r="E1120" s="26" t="s">
        <v>4</v>
      </c>
      <c r="F1120" s="26" t="s">
        <v>4</v>
      </c>
      <c r="G1120" s="26" t="s">
        <v>4</v>
      </c>
      <c r="H1120" s="1">
        <f>SUM(H1121:H1121)</f>
        <v>0</v>
      </c>
      <c r="I1120" s="1">
        <f>SUM(I1121:I1121)</f>
        <v>0</v>
      </c>
      <c r="J1120" s="1">
        <f>SUM(J1121:J1121)</f>
        <v>0</v>
      </c>
      <c r="K1120" s="27" t="s">
        <v>52</v>
      </c>
      <c r="AI1120" s="10" t="s">
        <v>2024</v>
      </c>
      <c r="AS1120" s="1">
        <f>SUM(AJ1121:AJ1121)</f>
        <v>0</v>
      </c>
      <c r="AT1120" s="1">
        <f>SUM(AK1121:AK1121)</f>
        <v>0</v>
      </c>
      <c r="AU1120" s="1">
        <f>SUM(AL1121:AL1121)</f>
        <v>0</v>
      </c>
    </row>
    <row r="1121" spans="1:75" ht="13.5" customHeight="1" x14ac:dyDescent="0.25">
      <c r="A1121" s="2" t="s">
        <v>2042</v>
      </c>
      <c r="B1121" s="3" t="s">
        <v>2043</v>
      </c>
      <c r="C1121" s="83" t="s">
        <v>2044</v>
      </c>
      <c r="D1121" s="80"/>
      <c r="E1121" s="3" t="s">
        <v>60</v>
      </c>
      <c r="F1121" s="28">
        <v>0.6</v>
      </c>
      <c r="G1121" s="28">
        <v>0</v>
      </c>
      <c r="H1121" s="28">
        <f>F1121*AO1121</f>
        <v>0</v>
      </c>
      <c r="I1121" s="28">
        <f>F1121*AP1121</f>
        <v>0</v>
      </c>
      <c r="J1121" s="28">
        <f>F1121*G1121</f>
        <v>0</v>
      </c>
      <c r="K1121" s="29" t="s">
        <v>61</v>
      </c>
      <c r="Z1121" s="28">
        <f>IF(AQ1121="5",BJ1121,0)</f>
        <v>0</v>
      </c>
      <c r="AB1121" s="28">
        <f>IF(AQ1121="1",BH1121,0)</f>
        <v>0</v>
      </c>
      <c r="AC1121" s="28">
        <f>IF(AQ1121="1",BI1121,0)</f>
        <v>0</v>
      </c>
      <c r="AD1121" s="28">
        <f>IF(AQ1121="7",BH1121,0)</f>
        <v>0</v>
      </c>
      <c r="AE1121" s="28">
        <f>IF(AQ1121="7",BI1121,0)</f>
        <v>0</v>
      </c>
      <c r="AF1121" s="28">
        <f>IF(AQ1121="2",BH1121,0)</f>
        <v>0</v>
      </c>
      <c r="AG1121" s="28">
        <f>IF(AQ1121="2",BI1121,0)</f>
        <v>0</v>
      </c>
      <c r="AH1121" s="28">
        <f>IF(AQ1121="0",BJ1121,0)</f>
        <v>0</v>
      </c>
      <c r="AI1121" s="10" t="s">
        <v>2024</v>
      </c>
      <c r="AJ1121" s="28">
        <f>IF(AN1121=0,J1121,0)</f>
        <v>0</v>
      </c>
      <c r="AK1121" s="28">
        <f>IF(AN1121=12,J1121,0)</f>
        <v>0</v>
      </c>
      <c r="AL1121" s="28">
        <f>IF(AN1121=21,J1121,0)</f>
        <v>0</v>
      </c>
      <c r="AN1121" s="28">
        <v>21</v>
      </c>
      <c r="AO1121" s="28">
        <f>G1121*0</f>
        <v>0</v>
      </c>
      <c r="AP1121" s="28">
        <f>G1121*(1-0)</f>
        <v>0</v>
      </c>
      <c r="AQ1121" s="30" t="s">
        <v>68</v>
      </c>
      <c r="AV1121" s="28">
        <f>AW1121+AX1121</f>
        <v>0</v>
      </c>
      <c r="AW1121" s="28">
        <f>F1121*AO1121</f>
        <v>0</v>
      </c>
      <c r="AX1121" s="28">
        <f>F1121*AP1121</f>
        <v>0</v>
      </c>
      <c r="AY1121" s="30" t="s">
        <v>2045</v>
      </c>
      <c r="AZ1121" s="30" t="s">
        <v>2046</v>
      </c>
      <c r="BA1121" s="10" t="s">
        <v>2029</v>
      </c>
      <c r="BC1121" s="28">
        <f>AW1121+AX1121</f>
        <v>0</v>
      </c>
      <c r="BD1121" s="28">
        <f>G1121/(100-BE1121)*100</f>
        <v>0</v>
      </c>
      <c r="BE1121" s="28">
        <v>0</v>
      </c>
      <c r="BF1121" s="28">
        <f>1121</f>
        <v>1121</v>
      </c>
      <c r="BH1121" s="28">
        <f>F1121*AO1121</f>
        <v>0</v>
      </c>
      <c r="BI1121" s="28">
        <f>F1121*AP1121</f>
        <v>0</v>
      </c>
      <c r="BJ1121" s="28">
        <f>F1121*G1121</f>
        <v>0</v>
      </c>
      <c r="BK1121" s="28"/>
      <c r="BL1121" s="28"/>
      <c r="BW1121" s="28">
        <v>21</v>
      </c>
    </row>
    <row r="1122" spans="1:75" x14ac:dyDescent="0.25">
      <c r="A1122" s="31"/>
      <c r="C1122" s="32" t="s">
        <v>2030</v>
      </c>
      <c r="D1122" s="32" t="s">
        <v>52</v>
      </c>
      <c r="F1122" s="33">
        <v>0.6</v>
      </c>
      <c r="K1122" s="34"/>
    </row>
    <row r="1123" spans="1:75" x14ac:dyDescent="0.25">
      <c r="A1123" s="24" t="s">
        <v>52</v>
      </c>
      <c r="B1123" s="25" t="s">
        <v>309</v>
      </c>
      <c r="C1123" s="139" t="s">
        <v>310</v>
      </c>
      <c r="D1123" s="140"/>
      <c r="E1123" s="26" t="s">
        <v>4</v>
      </c>
      <c r="F1123" s="26" t="s">
        <v>4</v>
      </c>
      <c r="G1123" s="26" t="s">
        <v>4</v>
      </c>
      <c r="H1123" s="1">
        <f>SUM(H1124:H1126)</f>
        <v>0</v>
      </c>
      <c r="I1123" s="1">
        <f>SUM(I1124:I1126)</f>
        <v>0</v>
      </c>
      <c r="J1123" s="1">
        <f>SUM(J1124:J1126)</f>
        <v>0</v>
      </c>
      <c r="K1123" s="27" t="s">
        <v>52</v>
      </c>
      <c r="AI1123" s="10" t="s">
        <v>2024</v>
      </c>
      <c r="AS1123" s="1">
        <f>SUM(AJ1124:AJ1126)</f>
        <v>0</v>
      </c>
      <c r="AT1123" s="1">
        <f>SUM(AK1124:AK1126)</f>
        <v>0</v>
      </c>
      <c r="AU1123" s="1">
        <f>SUM(AL1124:AL1126)</f>
        <v>0</v>
      </c>
    </row>
    <row r="1124" spans="1:75" ht="13.5" customHeight="1" x14ac:dyDescent="0.25">
      <c r="A1124" s="2" t="s">
        <v>2047</v>
      </c>
      <c r="B1124" s="3" t="s">
        <v>2048</v>
      </c>
      <c r="C1124" s="83" t="s">
        <v>2049</v>
      </c>
      <c r="D1124" s="80"/>
      <c r="E1124" s="3" t="s">
        <v>148</v>
      </c>
      <c r="F1124" s="28">
        <v>0.22500000000000001</v>
      </c>
      <c r="G1124" s="28">
        <v>0</v>
      </c>
      <c r="H1124" s="28">
        <f>F1124*AO1124</f>
        <v>0</v>
      </c>
      <c r="I1124" s="28">
        <f>F1124*AP1124</f>
        <v>0</v>
      </c>
      <c r="J1124" s="28">
        <f>F1124*G1124</f>
        <v>0</v>
      </c>
      <c r="K1124" s="29" t="s">
        <v>1491</v>
      </c>
      <c r="Z1124" s="28">
        <f>IF(AQ1124="5",BJ1124,0)</f>
        <v>0</v>
      </c>
      <c r="AB1124" s="28">
        <f>IF(AQ1124="1",BH1124,0)</f>
        <v>0</v>
      </c>
      <c r="AC1124" s="28">
        <f>IF(AQ1124="1",BI1124,0)</f>
        <v>0</v>
      </c>
      <c r="AD1124" s="28">
        <f>IF(AQ1124="7",BH1124,0)</f>
        <v>0</v>
      </c>
      <c r="AE1124" s="28">
        <f>IF(AQ1124="7",BI1124,0)</f>
        <v>0</v>
      </c>
      <c r="AF1124" s="28">
        <f>IF(AQ1124="2",BH1124,0)</f>
        <v>0</v>
      </c>
      <c r="AG1124" s="28">
        <f>IF(AQ1124="2",BI1124,0)</f>
        <v>0</v>
      </c>
      <c r="AH1124" s="28">
        <f>IF(AQ1124="0",BJ1124,0)</f>
        <v>0</v>
      </c>
      <c r="AI1124" s="10" t="s">
        <v>2024</v>
      </c>
      <c r="AJ1124" s="28">
        <f>IF(AN1124=0,J1124,0)</f>
        <v>0</v>
      </c>
      <c r="AK1124" s="28">
        <f>IF(AN1124=12,J1124,0)</f>
        <v>0</v>
      </c>
      <c r="AL1124" s="28">
        <f>IF(AN1124=21,J1124,0)</f>
        <v>0</v>
      </c>
      <c r="AN1124" s="28">
        <v>21</v>
      </c>
      <c r="AO1124" s="28">
        <f>G1124*0.498882307</f>
        <v>0</v>
      </c>
      <c r="AP1124" s="28">
        <f>G1124*(1-0.498882307)</f>
        <v>0</v>
      </c>
      <c r="AQ1124" s="30" t="s">
        <v>57</v>
      </c>
      <c r="AV1124" s="28">
        <f>AW1124+AX1124</f>
        <v>0</v>
      </c>
      <c r="AW1124" s="28">
        <f>F1124*AO1124</f>
        <v>0</v>
      </c>
      <c r="AX1124" s="28">
        <f>F1124*AP1124</f>
        <v>0</v>
      </c>
      <c r="AY1124" s="30" t="s">
        <v>314</v>
      </c>
      <c r="AZ1124" s="30" t="s">
        <v>2050</v>
      </c>
      <c r="BA1124" s="10" t="s">
        <v>2029</v>
      </c>
      <c r="BC1124" s="28">
        <f>AW1124+AX1124</f>
        <v>0</v>
      </c>
      <c r="BD1124" s="28">
        <f>G1124/(100-BE1124)*100</f>
        <v>0</v>
      </c>
      <c r="BE1124" s="28">
        <v>0</v>
      </c>
      <c r="BF1124" s="28">
        <f>1124</f>
        <v>1124</v>
      </c>
      <c r="BH1124" s="28">
        <f>F1124*AO1124</f>
        <v>0</v>
      </c>
      <c r="BI1124" s="28">
        <f>F1124*AP1124</f>
        <v>0</v>
      </c>
      <c r="BJ1124" s="28">
        <f>F1124*G1124</f>
        <v>0</v>
      </c>
      <c r="BK1124" s="28"/>
      <c r="BL1124" s="28">
        <v>61</v>
      </c>
      <c r="BW1124" s="28">
        <v>21</v>
      </c>
    </row>
    <row r="1125" spans="1:75" x14ac:dyDescent="0.25">
      <c r="A1125" s="31"/>
      <c r="C1125" s="32" t="s">
        <v>2051</v>
      </c>
      <c r="D1125" s="32" t="s">
        <v>2052</v>
      </c>
      <c r="F1125" s="33">
        <v>0.22500000000000001</v>
      </c>
      <c r="K1125" s="34"/>
    </row>
    <row r="1126" spans="1:75" ht="13.5" customHeight="1" x14ac:dyDescent="0.25">
      <c r="A1126" s="2" t="s">
        <v>2053</v>
      </c>
      <c r="B1126" s="3" t="s">
        <v>2054</v>
      </c>
      <c r="C1126" s="83" t="s">
        <v>2055</v>
      </c>
      <c r="D1126" s="80"/>
      <c r="E1126" s="3" t="s">
        <v>78</v>
      </c>
      <c r="F1126" s="28">
        <v>20</v>
      </c>
      <c r="G1126" s="28">
        <v>0</v>
      </c>
      <c r="H1126" s="28">
        <f>F1126*AO1126</f>
        <v>0</v>
      </c>
      <c r="I1126" s="28">
        <f>F1126*AP1126</f>
        <v>0</v>
      </c>
      <c r="J1126" s="28">
        <f>F1126*G1126</f>
        <v>0</v>
      </c>
      <c r="K1126" s="29" t="s">
        <v>1491</v>
      </c>
      <c r="Z1126" s="28">
        <f>IF(AQ1126="5",BJ1126,0)</f>
        <v>0</v>
      </c>
      <c r="AB1126" s="28">
        <f>IF(AQ1126="1",BH1126,0)</f>
        <v>0</v>
      </c>
      <c r="AC1126" s="28">
        <f>IF(AQ1126="1",BI1126,0)</f>
        <v>0</v>
      </c>
      <c r="AD1126" s="28">
        <f>IF(AQ1126="7",BH1126,0)</f>
        <v>0</v>
      </c>
      <c r="AE1126" s="28">
        <f>IF(AQ1126="7",BI1126,0)</f>
        <v>0</v>
      </c>
      <c r="AF1126" s="28">
        <f>IF(AQ1126="2",BH1126,0)</f>
        <v>0</v>
      </c>
      <c r="AG1126" s="28">
        <f>IF(AQ1126="2",BI1126,0)</f>
        <v>0</v>
      </c>
      <c r="AH1126" s="28">
        <f>IF(AQ1126="0",BJ1126,0)</f>
        <v>0</v>
      </c>
      <c r="AI1126" s="10" t="s">
        <v>2024</v>
      </c>
      <c r="AJ1126" s="28">
        <f>IF(AN1126=0,J1126,0)</f>
        <v>0</v>
      </c>
      <c r="AK1126" s="28">
        <f>IF(AN1126=12,J1126,0)</f>
        <v>0</v>
      </c>
      <c r="AL1126" s="28">
        <f>IF(AN1126=21,J1126,0)</f>
        <v>0</v>
      </c>
      <c r="AN1126" s="28">
        <v>21</v>
      </c>
      <c r="AO1126" s="28">
        <f>G1126*0.135746606</f>
        <v>0</v>
      </c>
      <c r="AP1126" s="28">
        <f>G1126*(1-0.135746606)</f>
        <v>0</v>
      </c>
      <c r="AQ1126" s="30" t="s">
        <v>57</v>
      </c>
      <c r="AV1126" s="28">
        <f>AW1126+AX1126</f>
        <v>0</v>
      </c>
      <c r="AW1126" s="28">
        <f>F1126*AO1126</f>
        <v>0</v>
      </c>
      <c r="AX1126" s="28">
        <f>F1126*AP1126</f>
        <v>0</v>
      </c>
      <c r="AY1126" s="30" t="s">
        <v>314</v>
      </c>
      <c r="AZ1126" s="30" t="s">
        <v>2050</v>
      </c>
      <c r="BA1126" s="10" t="s">
        <v>2029</v>
      </c>
      <c r="BC1126" s="28">
        <f>AW1126+AX1126</f>
        <v>0</v>
      </c>
      <c r="BD1126" s="28">
        <f>G1126/(100-BE1126)*100</f>
        <v>0</v>
      </c>
      <c r="BE1126" s="28">
        <v>0</v>
      </c>
      <c r="BF1126" s="28">
        <f>1126</f>
        <v>1126</v>
      </c>
      <c r="BH1126" s="28">
        <f>F1126*AO1126</f>
        <v>0</v>
      </c>
      <c r="BI1126" s="28">
        <f>F1126*AP1126</f>
        <v>0</v>
      </c>
      <c r="BJ1126" s="28">
        <f>F1126*G1126</f>
        <v>0</v>
      </c>
      <c r="BK1126" s="28"/>
      <c r="BL1126" s="28">
        <v>61</v>
      </c>
      <c r="BW1126" s="28">
        <v>21</v>
      </c>
    </row>
    <row r="1127" spans="1:75" x14ac:dyDescent="0.25">
      <c r="A1127" s="24" t="s">
        <v>52</v>
      </c>
      <c r="B1127" s="25" t="s">
        <v>73</v>
      </c>
      <c r="C1127" s="139" t="s">
        <v>74</v>
      </c>
      <c r="D1127" s="140"/>
      <c r="E1127" s="26" t="s">
        <v>4</v>
      </c>
      <c r="F1127" s="26" t="s">
        <v>4</v>
      </c>
      <c r="G1127" s="26" t="s">
        <v>4</v>
      </c>
      <c r="H1127" s="1">
        <f>SUM(H1128:H1129)</f>
        <v>0</v>
      </c>
      <c r="I1127" s="1">
        <f>SUM(I1128:I1129)</f>
        <v>0</v>
      </c>
      <c r="J1127" s="1">
        <f>SUM(J1128:J1129)</f>
        <v>0</v>
      </c>
      <c r="K1127" s="27" t="s">
        <v>52</v>
      </c>
      <c r="AI1127" s="10" t="s">
        <v>2024</v>
      </c>
      <c r="AS1127" s="1">
        <f>SUM(AJ1128:AJ1129)</f>
        <v>0</v>
      </c>
      <c r="AT1127" s="1">
        <f>SUM(AK1128:AK1129)</f>
        <v>0</v>
      </c>
      <c r="AU1127" s="1">
        <f>SUM(AL1128:AL1129)</f>
        <v>0</v>
      </c>
    </row>
    <row r="1128" spans="1:75" ht="13.5" customHeight="1" x14ac:dyDescent="0.25">
      <c r="A1128" s="2" t="s">
        <v>2056</v>
      </c>
      <c r="B1128" s="3" t="s">
        <v>2057</v>
      </c>
      <c r="C1128" s="83" t="s">
        <v>2058</v>
      </c>
      <c r="D1128" s="80"/>
      <c r="E1128" s="3" t="s">
        <v>78</v>
      </c>
      <c r="F1128" s="28">
        <v>20</v>
      </c>
      <c r="G1128" s="28">
        <v>0</v>
      </c>
      <c r="H1128" s="28">
        <f>F1128*AO1128</f>
        <v>0</v>
      </c>
      <c r="I1128" s="28">
        <f>F1128*AP1128</f>
        <v>0</v>
      </c>
      <c r="J1128" s="28">
        <f>F1128*G1128</f>
        <v>0</v>
      </c>
      <c r="K1128" s="29" t="s">
        <v>1491</v>
      </c>
      <c r="Z1128" s="28">
        <f>IF(AQ1128="5",BJ1128,0)</f>
        <v>0</v>
      </c>
      <c r="AB1128" s="28">
        <f>IF(AQ1128="1",BH1128,0)</f>
        <v>0</v>
      </c>
      <c r="AC1128" s="28">
        <f>IF(AQ1128="1",BI1128,0)</f>
        <v>0</v>
      </c>
      <c r="AD1128" s="28">
        <f>IF(AQ1128="7",BH1128,0)</f>
        <v>0</v>
      </c>
      <c r="AE1128" s="28">
        <f>IF(AQ1128="7",BI1128,0)</f>
        <v>0</v>
      </c>
      <c r="AF1128" s="28">
        <f>IF(AQ1128="2",BH1128,0)</f>
        <v>0</v>
      </c>
      <c r="AG1128" s="28">
        <f>IF(AQ1128="2",BI1128,0)</f>
        <v>0</v>
      </c>
      <c r="AH1128" s="28">
        <f>IF(AQ1128="0",BJ1128,0)</f>
        <v>0</v>
      </c>
      <c r="AI1128" s="10" t="s">
        <v>2024</v>
      </c>
      <c r="AJ1128" s="28">
        <f>IF(AN1128=0,J1128,0)</f>
        <v>0</v>
      </c>
      <c r="AK1128" s="28">
        <f>IF(AN1128=12,J1128,0)</f>
        <v>0</v>
      </c>
      <c r="AL1128" s="28">
        <f>IF(AN1128=21,J1128,0)</f>
        <v>0</v>
      </c>
      <c r="AN1128" s="28">
        <v>21</v>
      </c>
      <c r="AO1128" s="28">
        <f>G1128*0.129423459</f>
        <v>0</v>
      </c>
      <c r="AP1128" s="28">
        <f>G1128*(1-0.129423459)</f>
        <v>0</v>
      </c>
      <c r="AQ1128" s="30" t="s">
        <v>57</v>
      </c>
      <c r="AV1128" s="28">
        <f>AW1128+AX1128</f>
        <v>0</v>
      </c>
      <c r="AW1128" s="28">
        <f>F1128*AO1128</f>
        <v>0</v>
      </c>
      <c r="AX1128" s="28">
        <f>F1128*AP1128</f>
        <v>0</v>
      </c>
      <c r="AY1128" s="30" t="s">
        <v>79</v>
      </c>
      <c r="AZ1128" s="30" t="s">
        <v>2046</v>
      </c>
      <c r="BA1128" s="10" t="s">
        <v>2029</v>
      </c>
      <c r="BC1128" s="28">
        <f>AW1128+AX1128</f>
        <v>0</v>
      </c>
      <c r="BD1128" s="28">
        <f>G1128/(100-BE1128)*100</f>
        <v>0</v>
      </c>
      <c r="BE1128" s="28">
        <v>0</v>
      </c>
      <c r="BF1128" s="28">
        <f>1128</f>
        <v>1128</v>
      </c>
      <c r="BH1128" s="28">
        <f>F1128*AO1128</f>
        <v>0</v>
      </c>
      <c r="BI1128" s="28">
        <f>F1128*AP1128</f>
        <v>0</v>
      </c>
      <c r="BJ1128" s="28">
        <f>F1128*G1128</f>
        <v>0</v>
      </c>
      <c r="BK1128" s="28"/>
      <c r="BL1128" s="28">
        <v>97</v>
      </c>
      <c r="BW1128" s="28">
        <v>21</v>
      </c>
    </row>
    <row r="1129" spans="1:75" ht="13.5" customHeight="1" x14ac:dyDescent="0.25">
      <c r="A1129" s="2" t="s">
        <v>2059</v>
      </c>
      <c r="B1129" s="3" t="s">
        <v>2060</v>
      </c>
      <c r="C1129" s="83" t="s">
        <v>2061</v>
      </c>
      <c r="D1129" s="80"/>
      <c r="E1129" s="3" t="s">
        <v>78</v>
      </c>
      <c r="F1129" s="28">
        <v>4</v>
      </c>
      <c r="G1129" s="28">
        <v>0</v>
      </c>
      <c r="H1129" s="28">
        <f>F1129*AO1129</f>
        <v>0</v>
      </c>
      <c r="I1129" s="28">
        <f>F1129*AP1129</f>
        <v>0</v>
      </c>
      <c r="J1129" s="28">
        <f>F1129*G1129</f>
        <v>0</v>
      </c>
      <c r="K1129" s="29" t="s">
        <v>61</v>
      </c>
      <c r="Z1129" s="28">
        <f>IF(AQ1129="5",BJ1129,0)</f>
        <v>0</v>
      </c>
      <c r="AB1129" s="28">
        <f>IF(AQ1129="1",BH1129,0)</f>
        <v>0</v>
      </c>
      <c r="AC1129" s="28">
        <f>IF(AQ1129="1",BI1129,0)</f>
        <v>0</v>
      </c>
      <c r="AD1129" s="28">
        <f>IF(AQ1129="7",BH1129,0)</f>
        <v>0</v>
      </c>
      <c r="AE1129" s="28">
        <f>IF(AQ1129="7",BI1129,0)</f>
        <v>0</v>
      </c>
      <c r="AF1129" s="28">
        <f>IF(AQ1129="2",BH1129,0)</f>
        <v>0</v>
      </c>
      <c r="AG1129" s="28">
        <f>IF(AQ1129="2",BI1129,0)</f>
        <v>0</v>
      </c>
      <c r="AH1129" s="28">
        <f>IF(AQ1129="0",BJ1129,0)</f>
        <v>0</v>
      </c>
      <c r="AI1129" s="10" t="s">
        <v>2024</v>
      </c>
      <c r="AJ1129" s="28">
        <f>IF(AN1129=0,J1129,0)</f>
        <v>0</v>
      </c>
      <c r="AK1129" s="28">
        <f>IF(AN1129=12,J1129,0)</f>
        <v>0</v>
      </c>
      <c r="AL1129" s="28">
        <f>IF(AN1129=21,J1129,0)</f>
        <v>0</v>
      </c>
      <c r="AN1129" s="28">
        <v>21</v>
      </c>
      <c r="AO1129" s="28">
        <f>G1129*0.077993369</f>
        <v>0</v>
      </c>
      <c r="AP1129" s="28">
        <f>G1129*(1-0.077993369)</f>
        <v>0</v>
      </c>
      <c r="AQ1129" s="30" t="s">
        <v>57</v>
      </c>
      <c r="AV1129" s="28">
        <f>AW1129+AX1129</f>
        <v>0</v>
      </c>
      <c r="AW1129" s="28">
        <f>F1129*AO1129</f>
        <v>0</v>
      </c>
      <c r="AX1129" s="28">
        <f>F1129*AP1129</f>
        <v>0</v>
      </c>
      <c r="AY1129" s="30" t="s">
        <v>79</v>
      </c>
      <c r="AZ1129" s="30" t="s">
        <v>2046</v>
      </c>
      <c r="BA1129" s="10" t="s">
        <v>2029</v>
      </c>
      <c r="BC1129" s="28">
        <f>AW1129+AX1129</f>
        <v>0</v>
      </c>
      <c r="BD1129" s="28">
        <f>G1129/(100-BE1129)*100</f>
        <v>0</v>
      </c>
      <c r="BE1129" s="28">
        <v>0</v>
      </c>
      <c r="BF1129" s="28">
        <f>1129</f>
        <v>1129</v>
      </c>
      <c r="BH1129" s="28">
        <f>F1129*AO1129</f>
        <v>0</v>
      </c>
      <c r="BI1129" s="28">
        <f>F1129*AP1129</f>
        <v>0</v>
      </c>
      <c r="BJ1129" s="28">
        <f>F1129*G1129</f>
        <v>0</v>
      </c>
      <c r="BK1129" s="28"/>
      <c r="BL1129" s="28">
        <v>97</v>
      </c>
      <c r="BW1129" s="28">
        <v>21</v>
      </c>
    </row>
    <row r="1130" spans="1:75" x14ac:dyDescent="0.25">
      <c r="A1130" s="24" t="s">
        <v>52</v>
      </c>
      <c r="B1130" s="25" t="s">
        <v>82</v>
      </c>
      <c r="C1130" s="139" t="s">
        <v>83</v>
      </c>
      <c r="D1130" s="140"/>
      <c r="E1130" s="26" t="s">
        <v>4</v>
      </c>
      <c r="F1130" s="26" t="s">
        <v>4</v>
      </c>
      <c r="G1130" s="26" t="s">
        <v>4</v>
      </c>
      <c r="H1130" s="1">
        <f>SUM(H1131:H1137)</f>
        <v>0</v>
      </c>
      <c r="I1130" s="1">
        <f>SUM(I1131:I1137)</f>
        <v>0</v>
      </c>
      <c r="J1130" s="1">
        <f>SUM(J1131:J1137)</f>
        <v>0</v>
      </c>
      <c r="K1130" s="27" t="s">
        <v>52</v>
      </c>
      <c r="AI1130" s="10" t="s">
        <v>2024</v>
      </c>
      <c r="AS1130" s="1">
        <f>SUM(AJ1131:AJ1137)</f>
        <v>0</v>
      </c>
      <c r="AT1130" s="1">
        <f>SUM(AK1131:AK1137)</f>
        <v>0</v>
      </c>
      <c r="AU1130" s="1">
        <f>SUM(AL1131:AL1137)</f>
        <v>0</v>
      </c>
    </row>
    <row r="1131" spans="1:75" ht="13.5" customHeight="1" x14ac:dyDescent="0.25">
      <c r="A1131" s="2" t="s">
        <v>2062</v>
      </c>
      <c r="B1131" s="3" t="s">
        <v>2063</v>
      </c>
      <c r="C1131" s="83" t="s">
        <v>2064</v>
      </c>
      <c r="D1131" s="80"/>
      <c r="E1131" s="3" t="s">
        <v>71</v>
      </c>
      <c r="F1131" s="28">
        <v>9.5000000000000001E-2</v>
      </c>
      <c r="G1131" s="28">
        <v>0</v>
      </c>
      <c r="H1131" s="28">
        <f>F1131*AO1131</f>
        <v>0</v>
      </c>
      <c r="I1131" s="28">
        <f>F1131*AP1131</f>
        <v>0</v>
      </c>
      <c r="J1131" s="28">
        <f>F1131*G1131</f>
        <v>0</v>
      </c>
      <c r="K1131" s="29" t="s">
        <v>1491</v>
      </c>
      <c r="Z1131" s="28">
        <f>IF(AQ1131="5",BJ1131,0)</f>
        <v>0</v>
      </c>
      <c r="AB1131" s="28">
        <f>IF(AQ1131="1",BH1131,0)</f>
        <v>0</v>
      </c>
      <c r="AC1131" s="28">
        <f>IF(AQ1131="1",BI1131,0)</f>
        <v>0</v>
      </c>
      <c r="AD1131" s="28">
        <f>IF(AQ1131="7",BH1131,0)</f>
        <v>0</v>
      </c>
      <c r="AE1131" s="28">
        <f>IF(AQ1131="7",BI1131,0)</f>
        <v>0</v>
      </c>
      <c r="AF1131" s="28">
        <f>IF(AQ1131="2",BH1131,0)</f>
        <v>0</v>
      </c>
      <c r="AG1131" s="28">
        <f>IF(AQ1131="2",BI1131,0)</f>
        <v>0</v>
      </c>
      <c r="AH1131" s="28">
        <f>IF(AQ1131="0",BJ1131,0)</f>
        <v>0</v>
      </c>
      <c r="AI1131" s="10" t="s">
        <v>2024</v>
      </c>
      <c r="AJ1131" s="28">
        <f>IF(AN1131=0,J1131,0)</f>
        <v>0</v>
      </c>
      <c r="AK1131" s="28">
        <f>IF(AN1131=12,J1131,0)</f>
        <v>0</v>
      </c>
      <c r="AL1131" s="28">
        <f>IF(AN1131=21,J1131,0)</f>
        <v>0</v>
      </c>
      <c r="AN1131" s="28">
        <v>21</v>
      </c>
      <c r="AO1131" s="28">
        <f>G1131*0</f>
        <v>0</v>
      </c>
      <c r="AP1131" s="28">
        <f>G1131*(1-0)</f>
        <v>0</v>
      </c>
      <c r="AQ1131" s="30" t="s">
        <v>87</v>
      </c>
      <c r="AV1131" s="28">
        <f>AW1131+AX1131</f>
        <v>0</v>
      </c>
      <c r="AW1131" s="28">
        <f>F1131*AO1131</f>
        <v>0</v>
      </c>
      <c r="AX1131" s="28">
        <f>F1131*AP1131</f>
        <v>0</v>
      </c>
      <c r="AY1131" s="30" t="s">
        <v>88</v>
      </c>
      <c r="AZ1131" s="30" t="s">
        <v>2046</v>
      </c>
      <c r="BA1131" s="10" t="s">
        <v>2029</v>
      </c>
      <c r="BC1131" s="28">
        <f>AW1131+AX1131</f>
        <v>0</v>
      </c>
      <c r="BD1131" s="28">
        <f>G1131/(100-BE1131)*100</f>
        <v>0</v>
      </c>
      <c r="BE1131" s="28">
        <v>0</v>
      </c>
      <c r="BF1131" s="28">
        <f>1131</f>
        <v>1131</v>
      </c>
      <c r="BH1131" s="28">
        <f>F1131*AO1131</f>
        <v>0</v>
      </c>
      <c r="BI1131" s="28">
        <f>F1131*AP1131</f>
        <v>0</v>
      </c>
      <c r="BJ1131" s="28">
        <f>F1131*G1131</f>
        <v>0</v>
      </c>
      <c r="BK1131" s="28"/>
      <c r="BL1131" s="28"/>
      <c r="BW1131" s="28">
        <v>21</v>
      </c>
    </row>
    <row r="1132" spans="1:75" ht="13.5" customHeight="1" x14ac:dyDescent="0.25">
      <c r="A1132" s="2" t="s">
        <v>2065</v>
      </c>
      <c r="B1132" s="3" t="s">
        <v>2066</v>
      </c>
      <c r="C1132" s="83" t="s">
        <v>113</v>
      </c>
      <c r="D1132" s="80"/>
      <c r="E1132" s="3" t="s">
        <v>71</v>
      </c>
      <c r="F1132" s="28">
        <v>9.5000000000000001E-2</v>
      </c>
      <c r="G1132" s="28">
        <v>0</v>
      </c>
      <c r="H1132" s="28">
        <f>F1132*AO1132</f>
        <v>0</v>
      </c>
      <c r="I1132" s="28">
        <f>F1132*AP1132</f>
        <v>0</v>
      </c>
      <c r="J1132" s="28">
        <f>F1132*G1132</f>
        <v>0</v>
      </c>
      <c r="K1132" s="29" t="s">
        <v>1491</v>
      </c>
      <c r="Z1132" s="28">
        <f>IF(AQ1132="5",BJ1132,0)</f>
        <v>0</v>
      </c>
      <c r="AB1132" s="28">
        <f>IF(AQ1132="1",BH1132,0)</f>
        <v>0</v>
      </c>
      <c r="AC1132" s="28">
        <f>IF(AQ1132="1",BI1132,0)</f>
        <v>0</v>
      </c>
      <c r="AD1132" s="28">
        <f>IF(AQ1132="7",BH1132,0)</f>
        <v>0</v>
      </c>
      <c r="AE1132" s="28">
        <f>IF(AQ1132="7",BI1132,0)</f>
        <v>0</v>
      </c>
      <c r="AF1132" s="28">
        <f>IF(AQ1132="2",BH1132,0)</f>
        <v>0</v>
      </c>
      <c r="AG1132" s="28">
        <f>IF(AQ1132="2",BI1132,0)</f>
        <v>0</v>
      </c>
      <c r="AH1132" s="28">
        <f>IF(AQ1132="0",BJ1132,0)</f>
        <v>0</v>
      </c>
      <c r="AI1132" s="10" t="s">
        <v>2024</v>
      </c>
      <c r="AJ1132" s="28">
        <f>IF(AN1132=0,J1132,0)</f>
        <v>0</v>
      </c>
      <c r="AK1132" s="28">
        <f>IF(AN1132=12,J1132,0)</f>
        <v>0</v>
      </c>
      <c r="AL1132" s="28">
        <f>IF(AN1132=21,J1132,0)</f>
        <v>0</v>
      </c>
      <c r="AN1132" s="28">
        <v>21</v>
      </c>
      <c r="AO1132" s="28">
        <f>G1132*0</f>
        <v>0</v>
      </c>
      <c r="AP1132" s="28">
        <f>G1132*(1-0)</f>
        <v>0</v>
      </c>
      <c r="AQ1132" s="30" t="s">
        <v>87</v>
      </c>
      <c r="AV1132" s="28">
        <f>AW1132+AX1132</f>
        <v>0</v>
      </c>
      <c r="AW1132" s="28">
        <f>F1132*AO1132</f>
        <v>0</v>
      </c>
      <c r="AX1132" s="28">
        <f>F1132*AP1132</f>
        <v>0</v>
      </c>
      <c r="AY1132" s="30" t="s">
        <v>88</v>
      </c>
      <c r="AZ1132" s="30" t="s">
        <v>2046</v>
      </c>
      <c r="BA1132" s="10" t="s">
        <v>2029</v>
      </c>
      <c r="BC1132" s="28">
        <f>AW1132+AX1132</f>
        <v>0</v>
      </c>
      <c r="BD1132" s="28">
        <f>G1132/(100-BE1132)*100</f>
        <v>0</v>
      </c>
      <c r="BE1132" s="28">
        <v>0</v>
      </c>
      <c r="BF1132" s="28">
        <f>1132</f>
        <v>1132</v>
      </c>
      <c r="BH1132" s="28">
        <f>F1132*AO1132</f>
        <v>0</v>
      </c>
      <c r="BI1132" s="28">
        <f>F1132*AP1132</f>
        <v>0</v>
      </c>
      <c r="BJ1132" s="28">
        <f>F1132*G1132</f>
        <v>0</v>
      </c>
      <c r="BK1132" s="28"/>
      <c r="BL1132" s="28"/>
      <c r="BW1132" s="28">
        <v>21</v>
      </c>
    </row>
    <row r="1133" spans="1:75" ht="13.5" customHeight="1" x14ac:dyDescent="0.25">
      <c r="A1133" s="2" t="s">
        <v>2067</v>
      </c>
      <c r="B1133" s="3" t="s">
        <v>2068</v>
      </c>
      <c r="C1133" s="83" t="s">
        <v>2069</v>
      </c>
      <c r="D1133" s="80"/>
      <c r="E1133" s="3" t="s">
        <v>71</v>
      </c>
      <c r="F1133" s="28">
        <v>9.5000000000000001E-2</v>
      </c>
      <c r="G1133" s="28">
        <v>0</v>
      </c>
      <c r="H1133" s="28">
        <f>F1133*AO1133</f>
        <v>0</v>
      </c>
      <c r="I1133" s="28">
        <f>F1133*AP1133</f>
        <v>0</v>
      </c>
      <c r="J1133" s="28">
        <f>F1133*G1133</f>
        <v>0</v>
      </c>
      <c r="K1133" s="29" t="s">
        <v>1491</v>
      </c>
      <c r="Z1133" s="28">
        <f>IF(AQ1133="5",BJ1133,0)</f>
        <v>0</v>
      </c>
      <c r="AB1133" s="28">
        <f>IF(AQ1133="1",BH1133,0)</f>
        <v>0</v>
      </c>
      <c r="AC1133" s="28">
        <f>IF(AQ1133="1",BI1133,0)</f>
        <v>0</v>
      </c>
      <c r="AD1133" s="28">
        <f>IF(AQ1133="7",BH1133,0)</f>
        <v>0</v>
      </c>
      <c r="AE1133" s="28">
        <f>IF(AQ1133="7",BI1133,0)</f>
        <v>0</v>
      </c>
      <c r="AF1133" s="28">
        <f>IF(AQ1133="2",BH1133,0)</f>
        <v>0</v>
      </c>
      <c r="AG1133" s="28">
        <f>IF(AQ1133="2",BI1133,0)</f>
        <v>0</v>
      </c>
      <c r="AH1133" s="28">
        <f>IF(AQ1133="0",BJ1133,0)</f>
        <v>0</v>
      </c>
      <c r="AI1133" s="10" t="s">
        <v>2024</v>
      </c>
      <c r="AJ1133" s="28">
        <f>IF(AN1133=0,J1133,0)</f>
        <v>0</v>
      </c>
      <c r="AK1133" s="28">
        <f>IF(AN1133=12,J1133,0)</f>
        <v>0</v>
      </c>
      <c r="AL1133" s="28">
        <f>IF(AN1133=21,J1133,0)</f>
        <v>0</v>
      </c>
      <c r="AN1133" s="28">
        <v>21</v>
      </c>
      <c r="AO1133" s="28">
        <f>G1133*0</f>
        <v>0</v>
      </c>
      <c r="AP1133" s="28">
        <f>G1133*(1-0)</f>
        <v>0</v>
      </c>
      <c r="AQ1133" s="30" t="s">
        <v>87</v>
      </c>
      <c r="AV1133" s="28">
        <f>AW1133+AX1133</f>
        <v>0</v>
      </c>
      <c r="AW1133" s="28">
        <f>F1133*AO1133</f>
        <v>0</v>
      </c>
      <c r="AX1133" s="28">
        <f>F1133*AP1133</f>
        <v>0</v>
      </c>
      <c r="AY1133" s="30" t="s">
        <v>88</v>
      </c>
      <c r="AZ1133" s="30" t="s">
        <v>2046</v>
      </c>
      <c r="BA1133" s="10" t="s">
        <v>2029</v>
      </c>
      <c r="BC1133" s="28">
        <f>AW1133+AX1133</f>
        <v>0</v>
      </c>
      <c r="BD1133" s="28">
        <f>G1133/(100-BE1133)*100</f>
        <v>0</v>
      </c>
      <c r="BE1133" s="28">
        <v>0</v>
      </c>
      <c r="BF1133" s="28">
        <f>1133</f>
        <v>1133</v>
      </c>
      <c r="BH1133" s="28">
        <f>F1133*AO1133</f>
        <v>0</v>
      </c>
      <c r="BI1133" s="28">
        <f>F1133*AP1133</f>
        <v>0</v>
      </c>
      <c r="BJ1133" s="28">
        <f>F1133*G1133</f>
        <v>0</v>
      </c>
      <c r="BK1133" s="28"/>
      <c r="BL1133" s="28"/>
      <c r="BW1133" s="28">
        <v>21</v>
      </c>
    </row>
    <row r="1134" spans="1:75" ht="13.5" customHeight="1" x14ac:dyDescent="0.25">
      <c r="A1134" s="2" t="s">
        <v>2070</v>
      </c>
      <c r="B1134" s="3" t="s">
        <v>2071</v>
      </c>
      <c r="C1134" s="83" t="s">
        <v>2072</v>
      </c>
      <c r="D1134" s="80"/>
      <c r="E1134" s="3" t="s">
        <v>71</v>
      </c>
      <c r="F1134" s="28">
        <v>0.85499999999999998</v>
      </c>
      <c r="G1134" s="28">
        <v>0</v>
      </c>
      <c r="H1134" s="28">
        <f>F1134*AO1134</f>
        <v>0</v>
      </c>
      <c r="I1134" s="28">
        <f>F1134*AP1134</f>
        <v>0</v>
      </c>
      <c r="J1134" s="28">
        <f>F1134*G1134</f>
        <v>0</v>
      </c>
      <c r="K1134" s="29" t="s">
        <v>1491</v>
      </c>
      <c r="Z1134" s="28">
        <f>IF(AQ1134="5",BJ1134,0)</f>
        <v>0</v>
      </c>
      <c r="AB1134" s="28">
        <f>IF(AQ1134="1",BH1134,0)</f>
        <v>0</v>
      </c>
      <c r="AC1134" s="28">
        <f>IF(AQ1134="1",BI1134,0)</f>
        <v>0</v>
      </c>
      <c r="AD1134" s="28">
        <f>IF(AQ1134="7",BH1134,0)</f>
        <v>0</v>
      </c>
      <c r="AE1134" s="28">
        <f>IF(AQ1134="7",BI1134,0)</f>
        <v>0</v>
      </c>
      <c r="AF1134" s="28">
        <f>IF(AQ1134="2",BH1134,0)</f>
        <v>0</v>
      </c>
      <c r="AG1134" s="28">
        <f>IF(AQ1134="2",BI1134,0)</f>
        <v>0</v>
      </c>
      <c r="AH1134" s="28">
        <f>IF(AQ1134="0",BJ1134,0)</f>
        <v>0</v>
      </c>
      <c r="AI1134" s="10" t="s">
        <v>2024</v>
      </c>
      <c r="AJ1134" s="28">
        <f>IF(AN1134=0,J1134,0)</f>
        <v>0</v>
      </c>
      <c r="AK1134" s="28">
        <f>IF(AN1134=12,J1134,0)</f>
        <v>0</v>
      </c>
      <c r="AL1134" s="28">
        <f>IF(AN1134=21,J1134,0)</f>
        <v>0</v>
      </c>
      <c r="AN1134" s="28">
        <v>21</v>
      </c>
      <c r="AO1134" s="28">
        <f>G1134*0</f>
        <v>0</v>
      </c>
      <c r="AP1134" s="28">
        <f>G1134*(1-0)</f>
        <v>0</v>
      </c>
      <c r="AQ1134" s="30" t="s">
        <v>87</v>
      </c>
      <c r="AV1134" s="28">
        <f>AW1134+AX1134</f>
        <v>0</v>
      </c>
      <c r="AW1134" s="28">
        <f>F1134*AO1134</f>
        <v>0</v>
      </c>
      <c r="AX1134" s="28">
        <f>F1134*AP1134</f>
        <v>0</v>
      </c>
      <c r="AY1134" s="30" t="s">
        <v>88</v>
      </c>
      <c r="AZ1134" s="30" t="s">
        <v>2046</v>
      </c>
      <c r="BA1134" s="10" t="s">
        <v>2029</v>
      </c>
      <c r="BC1134" s="28">
        <f>AW1134+AX1134</f>
        <v>0</v>
      </c>
      <c r="BD1134" s="28">
        <f>G1134/(100-BE1134)*100</f>
        <v>0</v>
      </c>
      <c r="BE1134" s="28">
        <v>0</v>
      </c>
      <c r="BF1134" s="28">
        <f>1134</f>
        <v>1134</v>
      </c>
      <c r="BH1134" s="28">
        <f>F1134*AO1134</f>
        <v>0</v>
      </c>
      <c r="BI1134" s="28">
        <f>F1134*AP1134</f>
        <v>0</v>
      </c>
      <c r="BJ1134" s="28">
        <f>F1134*G1134</f>
        <v>0</v>
      </c>
      <c r="BK1134" s="28"/>
      <c r="BL1134" s="28"/>
      <c r="BW1134" s="28">
        <v>21</v>
      </c>
    </row>
    <row r="1135" spans="1:75" x14ac:dyDescent="0.25">
      <c r="A1135" s="31"/>
      <c r="C1135" s="32" t="s">
        <v>2073</v>
      </c>
      <c r="D1135" s="32" t="s">
        <v>2074</v>
      </c>
      <c r="F1135" s="33">
        <v>0.85499999999999998</v>
      </c>
      <c r="K1135" s="34"/>
    </row>
    <row r="1136" spans="1:75" ht="13.5" customHeight="1" x14ac:dyDescent="0.25">
      <c r="A1136" s="2" t="s">
        <v>2075</v>
      </c>
      <c r="B1136" s="3" t="s">
        <v>2076</v>
      </c>
      <c r="C1136" s="83" t="s">
        <v>2077</v>
      </c>
      <c r="D1136" s="80"/>
      <c r="E1136" s="3" t="s">
        <v>71</v>
      </c>
      <c r="F1136" s="28">
        <v>9.5000000000000001E-2</v>
      </c>
      <c r="G1136" s="28">
        <v>0</v>
      </c>
      <c r="H1136" s="28">
        <f>F1136*AO1136</f>
        <v>0</v>
      </c>
      <c r="I1136" s="28">
        <f>F1136*AP1136</f>
        <v>0</v>
      </c>
      <c r="J1136" s="28">
        <f>F1136*G1136</f>
        <v>0</v>
      </c>
      <c r="K1136" s="29" t="s">
        <v>1491</v>
      </c>
      <c r="Z1136" s="28">
        <f>IF(AQ1136="5",BJ1136,0)</f>
        <v>0</v>
      </c>
      <c r="AB1136" s="28">
        <f>IF(AQ1136="1",BH1136,0)</f>
        <v>0</v>
      </c>
      <c r="AC1136" s="28">
        <f>IF(AQ1136="1",BI1136,0)</f>
        <v>0</v>
      </c>
      <c r="AD1136" s="28">
        <f>IF(AQ1136="7",BH1136,0)</f>
        <v>0</v>
      </c>
      <c r="AE1136" s="28">
        <f>IF(AQ1136="7",BI1136,0)</f>
        <v>0</v>
      </c>
      <c r="AF1136" s="28">
        <f>IF(AQ1136="2",BH1136,0)</f>
        <v>0</v>
      </c>
      <c r="AG1136" s="28">
        <f>IF(AQ1136="2",BI1136,0)</f>
        <v>0</v>
      </c>
      <c r="AH1136" s="28">
        <f>IF(AQ1136="0",BJ1136,0)</f>
        <v>0</v>
      </c>
      <c r="AI1136" s="10" t="s">
        <v>2024</v>
      </c>
      <c r="AJ1136" s="28">
        <f>IF(AN1136=0,J1136,0)</f>
        <v>0</v>
      </c>
      <c r="AK1136" s="28">
        <f>IF(AN1136=12,J1136,0)</f>
        <v>0</v>
      </c>
      <c r="AL1136" s="28">
        <f>IF(AN1136=21,J1136,0)</f>
        <v>0</v>
      </c>
      <c r="AN1136" s="28">
        <v>21</v>
      </c>
      <c r="AO1136" s="28">
        <f>G1136*0</f>
        <v>0</v>
      </c>
      <c r="AP1136" s="28">
        <f>G1136*(1-0)</f>
        <v>0</v>
      </c>
      <c r="AQ1136" s="30" t="s">
        <v>87</v>
      </c>
      <c r="AV1136" s="28">
        <f>AW1136+AX1136</f>
        <v>0</v>
      </c>
      <c r="AW1136" s="28">
        <f>F1136*AO1136</f>
        <v>0</v>
      </c>
      <c r="AX1136" s="28">
        <f>F1136*AP1136</f>
        <v>0</v>
      </c>
      <c r="AY1136" s="30" t="s">
        <v>88</v>
      </c>
      <c r="AZ1136" s="30" t="s">
        <v>2046</v>
      </c>
      <c r="BA1136" s="10" t="s">
        <v>2029</v>
      </c>
      <c r="BC1136" s="28">
        <f>AW1136+AX1136</f>
        <v>0</v>
      </c>
      <c r="BD1136" s="28">
        <f>G1136/(100-BE1136)*100</f>
        <v>0</v>
      </c>
      <c r="BE1136" s="28">
        <v>0</v>
      </c>
      <c r="BF1136" s="28">
        <f>1136</f>
        <v>1136</v>
      </c>
      <c r="BH1136" s="28">
        <f>F1136*AO1136</f>
        <v>0</v>
      </c>
      <c r="BI1136" s="28">
        <f>F1136*AP1136</f>
        <v>0</v>
      </c>
      <c r="BJ1136" s="28">
        <f>F1136*G1136</f>
        <v>0</v>
      </c>
      <c r="BK1136" s="28"/>
      <c r="BL1136" s="28"/>
      <c r="BW1136" s="28">
        <v>21</v>
      </c>
    </row>
    <row r="1137" spans="1:75" ht="13.5" customHeight="1" x14ac:dyDescent="0.25">
      <c r="A1137" s="2" t="s">
        <v>2078</v>
      </c>
      <c r="B1137" s="3" t="s">
        <v>326</v>
      </c>
      <c r="C1137" s="83" t="s">
        <v>327</v>
      </c>
      <c r="D1137" s="80"/>
      <c r="E1137" s="3" t="s">
        <v>71</v>
      </c>
      <c r="F1137" s="28">
        <v>1.1399999999999999</v>
      </c>
      <c r="G1137" s="28">
        <v>0</v>
      </c>
      <c r="H1137" s="28">
        <f>F1137*AO1137</f>
        <v>0</v>
      </c>
      <c r="I1137" s="28">
        <f>F1137*AP1137</f>
        <v>0</v>
      </c>
      <c r="J1137" s="28">
        <f>F1137*G1137</f>
        <v>0</v>
      </c>
      <c r="K1137" s="29" t="s">
        <v>1491</v>
      </c>
      <c r="Z1137" s="28">
        <f>IF(AQ1137="5",BJ1137,0)</f>
        <v>0</v>
      </c>
      <c r="AB1137" s="28">
        <f>IF(AQ1137="1",BH1137,0)</f>
        <v>0</v>
      </c>
      <c r="AC1137" s="28">
        <f>IF(AQ1137="1",BI1137,0)</f>
        <v>0</v>
      </c>
      <c r="AD1137" s="28">
        <f>IF(AQ1137="7",BH1137,0)</f>
        <v>0</v>
      </c>
      <c r="AE1137" s="28">
        <f>IF(AQ1137="7",BI1137,0)</f>
        <v>0</v>
      </c>
      <c r="AF1137" s="28">
        <f>IF(AQ1137="2",BH1137,0)</f>
        <v>0</v>
      </c>
      <c r="AG1137" s="28">
        <f>IF(AQ1137="2",BI1137,0)</f>
        <v>0</v>
      </c>
      <c r="AH1137" s="28">
        <f>IF(AQ1137="0",BJ1137,0)</f>
        <v>0</v>
      </c>
      <c r="AI1137" s="10" t="s">
        <v>2024</v>
      </c>
      <c r="AJ1137" s="28">
        <f>IF(AN1137=0,J1137,0)</f>
        <v>0</v>
      </c>
      <c r="AK1137" s="28">
        <f>IF(AN1137=12,J1137,0)</f>
        <v>0</v>
      </c>
      <c r="AL1137" s="28">
        <f>IF(AN1137=21,J1137,0)</f>
        <v>0</v>
      </c>
      <c r="AN1137" s="28">
        <v>21</v>
      </c>
      <c r="AO1137" s="28">
        <f>G1137*0</f>
        <v>0</v>
      </c>
      <c r="AP1137" s="28">
        <f>G1137*(1-0)</f>
        <v>0</v>
      </c>
      <c r="AQ1137" s="30" t="s">
        <v>87</v>
      </c>
      <c r="AV1137" s="28">
        <f>AW1137+AX1137</f>
        <v>0</v>
      </c>
      <c r="AW1137" s="28">
        <f>F1137*AO1137</f>
        <v>0</v>
      </c>
      <c r="AX1137" s="28">
        <f>F1137*AP1137</f>
        <v>0</v>
      </c>
      <c r="AY1137" s="30" t="s">
        <v>88</v>
      </c>
      <c r="AZ1137" s="30" t="s">
        <v>2046</v>
      </c>
      <c r="BA1137" s="10" t="s">
        <v>2029</v>
      </c>
      <c r="BC1137" s="28">
        <f>AW1137+AX1137</f>
        <v>0</v>
      </c>
      <c r="BD1137" s="28">
        <f>G1137/(100-BE1137)*100</f>
        <v>0</v>
      </c>
      <c r="BE1137" s="28">
        <v>0</v>
      </c>
      <c r="BF1137" s="28">
        <f>1137</f>
        <v>1137</v>
      </c>
      <c r="BH1137" s="28">
        <f>F1137*AO1137</f>
        <v>0</v>
      </c>
      <c r="BI1137" s="28">
        <f>F1137*AP1137</f>
        <v>0</v>
      </c>
      <c r="BJ1137" s="28">
        <f>F1137*G1137</f>
        <v>0</v>
      </c>
      <c r="BK1137" s="28"/>
      <c r="BL1137" s="28"/>
      <c r="BW1137" s="28">
        <v>21</v>
      </c>
    </row>
    <row r="1138" spans="1:75" x14ac:dyDescent="0.25">
      <c r="A1138" s="31"/>
      <c r="C1138" s="32" t="s">
        <v>2079</v>
      </c>
      <c r="D1138" s="32" t="s">
        <v>52</v>
      </c>
      <c r="F1138" s="33">
        <v>1.1399999999999999</v>
      </c>
      <c r="K1138" s="34"/>
    </row>
    <row r="1139" spans="1:75" x14ac:dyDescent="0.25">
      <c r="A1139" s="24" t="s">
        <v>52</v>
      </c>
      <c r="B1139" s="25" t="s">
        <v>2080</v>
      </c>
      <c r="C1139" s="139" t="s">
        <v>2081</v>
      </c>
      <c r="D1139" s="140"/>
      <c r="E1139" s="26" t="s">
        <v>4</v>
      </c>
      <c r="F1139" s="26" t="s">
        <v>4</v>
      </c>
      <c r="G1139" s="26" t="s">
        <v>4</v>
      </c>
      <c r="H1139" s="1">
        <f>SUM(H1140:H1148)</f>
        <v>0</v>
      </c>
      <c r="I1139" s="1">
        <f>SUM(I1140:I1148)</f>
        <v>0</v>
      </c>
      <c r="J1139" s="1">
        <f>SUM(J1140:J1148)</f>
        <v>0</v>
      </c>
      <c r="K1139" s="27" t="s">
        <v>52</v>
      </c>
      <c r="AI1139" s="10" t="s">
        <v>2024</v>
      </c>
      <c r="AS1139" s="1">
        <f>SUM(AJ1140:AJ1148)</f>
        <v>0</v>
      </c>
      <c r="AT1139" s="1">
        <f>SUM(AK1140:AK1148)</f>
        <v>0</v>
      </c>
      <c r="AU1139" s="1">
        <f>SUM(AL1140:AL1148)</f>
        <v>0</v>
      </c>
    </row>
    <row r="1140" spans="1:75" ht="27" customHeight="1" x14ac:dyDescent="0.25">
      <c r="A1140" s="2" t="s">
        <v>2082</v>
      </c>
      <c r="B1140" s="3" t="s">
        <v>2083</v>
      </c>
      <c r="C1140" s="83" t="s">
        <v>2084</v>
      </c>
      <c r="D1140" s="80"/>
      <c r="E1140" s="3" t="s">
        <v>137</v>
      </c>
      <c r="F1140" s="28">
        <v>1</v>
      </c>
      <c r="G1140" s="28">
        <v>0</v>
      </c>
      <c r="H1140" s="28">
        <f t="shared" ref="H1140:H1148" si="72">F1140*AO1140</f>
        <v>0</v>
      </c>
      <c r="I1140" s="28">
        <f t="shared" ref="I1140:I1148" si="73">F1140*AP1140</f>
        <v>0</v>
      </c>
      <c r="J1140" s="28">
        <f t="shared" ref="J1140:J1148" si="74">F1140*G1140</f>
        <v>0</v>
      </c>
      <c r="K1140" s="29" t="s">
        <v>1491</v>
      </c>
      <c r="Z1140" s="28">
        <f t="shared" ref="Z1140:Z1148" si="75">IF(AQ1140="5",BJ1140,0)</f>
        <v>0</v>
      </c>
      <c r="AB1140" s="28">
        <f t="shared" ref="AB1140:AB1148" si="76">IF(AQ1140="1",BH1140,0)</f>
        <v>0</v>
      </c>
      <c r="AC1140" s="28">
        <f t="shared" ref="AC1140:AC1148" si="77">IF(AQ1140="1",BI1140,0)</f>
        <v>0</v>
      </c>
      <c r="AD1140" s="28">
        <f t="shared" ref="AD1140:AD1148" si="78">IF(AQ1140="7",BH1140,0)</f>
        <v>0</v>
      </c>
      <c r="AE1140" s="28">
        <f t="shared" ref="AE1140:AE1148" si="79">IF(AQ1140="7",BI1140,0)</f>
        <v>0</v>
      </c>
      <c r="AF1140" s="28">
        <f t="shared" ref="AF1140:AF1148" si="80">IF(AQ1140="2",BH1140,0)</f>
        <v>0</v>
      </c>
      <c r="AG1140" s="28">
        <f t="shared" ref="AG1140:AG1148" si="81">IF(AQ1140="2",BI1140,0)</f>
        <v>0</v>
      </c>
      <c r="AH1140" s="28">
        <f t="shared" ref="AH1140:AH1148" si="82">IF(AQ1140="0",BJ1140,0)</f>
        <v>0</v>
      </c>
      <c r="AI1140" s="10" t="s">
        <v>2024</v>
      </c>
      <c r="AJ1140" s="28">
        <f t="shared" ref="AJ1140:AJ1148" si="83">IF(AN1140=0,J1140,0)</f>
        <v>0</v>
      </c>
      <c r="AK1140" s="28">
        <f t="shared" ref="AK1140:AK1148" si="84">IF(AN1140=12,J1140,0)</f>
        <v>0</v>
      </c>
      <c r="AL1140" s="28">
        <f t="shared" ref="AL1140:AL1148" si="85">IF(AN1140=21,J1140,0)</f>
        <v>0</v>
      </c>
      <c r="AN1140" s="28">
        <v>21</v>
      </c>
      <c r="AO1140" s="28">
        <f>G1140*0.377777778</f>
        <v>0</v>
      </c>
      <c r="AP1140" s="28">
        <f>G1140*(1-0.377777778)</f>
        <v>0</v>
      </c>
      <c r="AQ1140" s="30" t="s">
        <v>68</v>
      </c>
      <c r="AV1140" s="28">
        <f t="shared" ref="AV1140:AV1148" si="86">AW1140+AX1140</f>
        <v>0</v>
      </c>
      <c r="AW1140" s="28">
        <f t="shared" ref="AW1140:AW1148" si="87">F1140*AO1140</f>
        <v>0</v>
      </c>
      <c r="AX1140" s="28">
        <f t="shared" ref="AX1140:AX1148" si="88">F1140*AP1140</f>
        <v>0</v>
      </c>
      <c r="AY1140" s="30" t="s">
        <v>2085</v>
      </c>
      <c r="AZ1140" s="30" t="s">
        <v>2028</v>
      </c>
      <c r="BA1140" s="10" t="s">
        <v>2029</v>
      </c>
      <c r="BC1140" s="28">
        <f t="shared" ref="BC1140:BC1148" si="89">AW1140+AX1140</f>
        <v>0</v>
      </c>
      <c r="BD1140" s="28">
        <f t="shared" ref="BD1140:BD1148" si="90">G1140/(100-BE1140)*100</f>
        <v>0</v>
      </c>
      <c r="BE1140" s="28">
        <v>0</v>
      </c>
      <c r="BF1140" s="28">
        <f>1140</f>
        <v>1140</v>
      </c>
      <c r="BH1140" s="28">
        <f t="shared" ref="BH1140:BH1148" si="91">F1140*AO1140</f>
        <v>0</v>
      </c>
      <c r="BI1140" s="28">
        <f t="shared" ref="BI1140:BI1148" si="92">F1140*AP1140</f>
        <v>0</v>
      </c>
      <c r="BJ1140" s="28">
        <f t="shared" ref="BJ1140:BJ1148" si="93">F1140*G1140</f>
        <v>0</v>
      </c>
      <c r="BK1140" s="28"/>
      <c r="BL1140" s="28"/>
      <c r="BW1140" s="28">
        <v>21</v>
      </c>
    </row>
    <row r="1141" spans="1:75" ht="13.5" customHeight="1" x14ac:dyDescent="0.25">
      <c r="A1141" s="2" t="s">
        <v>2086</v>
      </c>
      <c r="B1141" s="3" t="s">
        <v>2087</v>
      </c>
      <c r="C1141" s="83" t="s">
        <v>2088</v>
      </c>
      <c r="D1141" s="80"/>
      <c r="E1141" s="3" t="s">
        <v>78</v>
      </c>
      <c r="F1141" s="28">
        <v>10</v>
      </c>
      <c r="G1141" s="28">
        <v>0</v>
      </c>
      <c r="H1141" s="28">
        <f t="shared" si="72"/>
        <v>0</v>
      </c>
      <c r="I1141" s="28">
        <f t="shared" si="73"/>
        <v>0</v>
      </c>
      <c r="J1141" s="28">
        <f t="shared" si="74"/>
        <v>0</v>
      </c>
      <c r="K1141" s="29" t="s">
        <v>61</v>
      </c>
      <c r="Z1141" s="28">
        <f t="shared" si="75"/>
        <v>0</v>
      </c>
      <c r="AB1141" s="28">
        <f t="shared" si="76"/>
        <v>0</v>
      </c>
      <c r="AC1141" s="28">
        <f t="shared" si="77"/>
        <v>0</v>
      </c>
      <c r="AD1141" s="28">
        <f t="shared" si="78"/>
        <v>0</v>
      </c>
      <c r="AE1141" s="28">
        <f t="shared" si="79"/>
        <v>0</v>
      </c>
      <c r="AF1141" s="28">
        <f t="shared" si="80"/>
        <v>0</v>
      </c>
      <c r="AG1141" s="28">
        <f t="shared" si="81"/>
        <v>0</v>
      </c>
      <c r="AH1141" s="28">
        <f t="shared" si="82"/>
        <v>0</v>
      </c>
      <c r="AI1141" s="10" t="s">
        <v>2024</v>
      </c>
      <c r="AJ1141" s="28">
        <f t="shared" si="83"/>
        <v>0</v>
      </c>
      <c r="AK1141" s="28">
        <f t="shared" si="84"/>
        <v>0</v>
      </c>
      <c r="AL1141" s="28">
        <f t="shared" si="85"/>
        <v>0</v>
      </c>
      <c r="AN1141" s="28">
        <v>21</v>
      </c>
      <c r="AO1141" s="28">
        <f>G1141*0</f>
        <v>0</v>
      </c>
      <c r="AP1141" s="28">
        <f>G1141*(1-0)</f>
        <v>0</v>
      </c>
      <c r="AQ1141" s="30" t="s">
        <v>68</v>
      </c>
      <c r="AV1141" s="28">
        <f t="shared" si="86"/>
        <v>0</v>
      </c>
      <c r="AW1141" s="28">
        <f t="shared" si="87"/>
        <v>0</v>
      </c>
      <c r="AX1141" s="28">
        <f t="shared" si="88"/>
        <v>0</v>
      </c>
      <c r="AY1141" s="30" t="s">
        <v>2085</v>
      </c>
      <c r="AZ1141" s="30" t="s">
        <v>2028</v>
      </c>
      <c r="BA1141" s="10" t="s">
        <v>2029</v>
      </c>
      <c r="BC1141" s="28">
        <f t="shared" si="89"/>
        <v>0</v>
      </c>
      <c r="BD1141" s="28">
        <f t="shared" si="90"/>
        <v>0</v>
      </c>
      <c r="BE1141" s="28">
        <v>0</v>
      </c>
      <c r="BF1141" s="28">
        <f>1141</f>
        <v>1141</v>
      </c>
      <c r="BH1141" s="28">
        <f t="shared" si="91"/>
        <v>0</v>
      </c>
      <c r="BI1141" s="28">
        <f t="shared" si="92"/>
        <v>0</v>
      </c>
      <c r="BJ1141" s="28">
        <f t="shared" si="93"/>
        <v>0</v>
      </c>
      <c r="BK1141" s="28"/>
      <c r="BL1141" s="28"/>
      <c r="BW1141" s="28">
        <v>21</v>
      </c>
    </row>
    <row r="1142" spans="1:75" ht="13.5" customHeight="1" x14ac:dyDescent="0.25">
      <c r="A1142" s="2" t="s">
        <v>2089</v>
      </c>
      <c r="B1142" s="3" t="s">
        <v>2090</v>
      </c>
      <c r="C1142" s="83" t="s">
        <v>2091</v>
      </c>
      <c r="D1142" s="80"/>
      <c r="E1142" s="3" t="s">
        <v>78</v>
      </c>
      <c r="F1142" s="28">
        <v>10</v>
      </c>
      <c r="G1142" s="28">
        <v>0</v>
      </c>
      <c r="H1142" s="28">
        <f t="shared" si="72"/>
        <v>0</v>
      </c>
      <c r="I1142" s="28">
        <f t="shared" si="73"/>
        <v>0</v>
      </c>
      <c r="J1142" s="28">
        <f t="shared" si="74"/>
        <v>0</v>
      </c>
      <c r="K1142" s="29" t="s">
        <v>61</v>
      </c>
      <c r="Z1142" s="28">
        <f t="shared" si="75"/>
        <v>0</v>
      </c>
      <c r="AB1142" s="28">
        <f t="shared" si="76"/>
        <v>0</v>
      </c>
      <c r="AC1142" s="28">
        <f t="shared" si="77"/>
        <v>0</v>
      </c>
      <c r="AD1142" s="28">
        <f t="shared" si="78"/>
        <v>0</v>
      </c>
      <c r="AE1142" s="28">
        <f t="shared" si="79"/>
        <v>0</v>
      </c>
      <c r="AF1142" s="28">
        <f t="shared" si="80"/>
        <v>0</v>
      </c>
      <c r="AG1142" s="28">
        <f t="shared" si="81"/>
        <v>0</v>
      </c>
      <c r="AH1142" s="28">
        <f t="shared" si="82"/>
        <v>0</v>
      </c>
      <c r="AI1142" s="10" t="s">
        <v>2024</v>
      </c>
      <c r="AJ1142" s="28">
        <f t="shared" si="83"/>
        <v>0</v>
      </c>
      <c r="AK1142" s="28">
        <f t="shared" si="84"/>
        <v>0</v>
      </c>
      <c r="AL1142" s="28">
        <f t="shared" si="85"/>
        <v>0</v>
      </c>
      <c r="AN1142" s="28">
        <v>21</v>
      </c>
      <c r="AO1142" s="28">
        <f>G1142*1</f>
        <v>0</v>
      </c>
      <c r="AP1142" s="28">
        <f>G1142*(1-1)</f>
        <v>0</v>
      </c>
      <c r="AQ1142" s="30" t="s">
        <v>57</v>
      </c>
      <c r="AV1142" s="28">
        <f t="shared" si="86"/>
        <v>0</v>
      </c>
      <c r="AW1142" s="28">
        <f t="shared" si="87"/>
        <v>0</v>
      </c>
      <c r="AX1142" s="28">
        <f t="shared" si="88"/>
        <v>0</v>
      </c>
      <c r="AY1142" s="30" t="s">
        <v>2085</v>
      </c>
      <c r="AZ1142" s="30" t="s">
        <v>2028</v>
      </c>
      <c r="BA1142" s="10" t="s">
        <v>2029</v>
      </c>
      <c r="BC1142" s="28">
        <f t="shared" si="89"/>
        <v>0</v>
      </c>
      <c r="BD1142" s="28">
        <f t="shared" si="90"/>
        <v>0</v>
      </c>
      <c r="BE1142" s="28">
        <v>0</v>
      </c>
      <c r="BF1142" s="28">
        <f>1142</f>
        <v>1142</v>
      </c>
      <c r="BH1142" s="28">
        <f t="shared" si="91"/>
        <v>0</v>
      </c>
      <c r="BI1142" s="28">
        <f t="shared" si="92"/>
        <v>0</v>
      </c>
      <c r="BJ1142" s="28">
        <f t="shared" si="93"/>
        <v>0</v>
      </c>
      <c r="BK1142" s="28"/>
      <c r="BL1142" s="28"/>
      <c r="BW1142" s="28">
        <v>21</v>
      </c>
    </row>
    <row r="1143" spans="1:75" ht="13.5" customHeight="1" x14ac:dyDescent="0.25">
      <c r="A1143" s="2" t="s">
        <v>2092</v>
      </c>
      <c r="B1143" s="3" t="s">
        <v>2093</v>
      </c>
      <c r="C1143" s="83" t="s">
        <v>2094</v>
      </c>
      <c r="D1143" s="80"/>
      <c r="E1143" s="3" t="s">
        <v>78</v>
      </c>
      <c r="F1143" s="28">
        <v>10</v>
      </c>
      <c r="G1143" s="28">
        <v>0</v>
      </c>
      <c r="H1143" s="28">
        <f t="shared" si="72"/>
        <v>0</v>
      </c>
      <c r="I1143" s="28">
        <f t="shared" si="73"/>
        <v>0</v>
      </c>
      <c r="J1143" s="28">
        <f t="shared" si="74"/>
        <v>0</v>
      </c>
      <c r="K1143" s="29" t="s">
        <v>61</v>
      </c>
      <c r="Z1143" s="28">
        <f t="shared" si="75"/>
        <v>0</v>
      </c>
      <c r="AB1143" s="28">
        <f t="shared" si="76"/>
        <v>0</v>
      </c>
      <c r="AC1143" s="28">
        <f t="shared" si="77"/>
        <v>0</v>
      </c>
      <c r="AD1143" s="28">
        <f t="shared" si="78"/>
        <v>0</v>
      </c>
      <c r="AE1143" s="28">
        <f t="shared" si="79"/>
        <v>0</v>
      </c>
      <c r="AF1143" s="28">
        <f t="shared" si="80"/>
        <v>0</v>
      </c>
      <c r="AG1143" s="28">
        <f t="shared" si="81"/>
        <v>0</v>
      </c>
      <c r="AH1143" s="28">
        <f t="shared" si="82"/>
        <v>0</v>
      </c>
      <c r="AI1143" s="10" t="s">
        <v>2024</v>
      </c>
      <c r="AJ1143" s="28">
        <f t="shared" si="83"/>
        <v>0</v>
      </c>
      <c r="AK1143" s="28">
        <f t="shared" si="84"/>
        <v>0</v>
      </c>
      <c r="AL1143" s="28">
        <f t="shared" si="85"/>
        <v>0</v>
      </c>
      <c r="AN1143" s="28">
        <v>21</v>
      </c>
      <c r="AO1143" s="28">
        <f>G1143*0</f>
        <v>0</v>
      </c>
      <c r="AP1143" s="28">
        <f>G1143*(1-0)</f>
        <v>0</v>
      </c>
      <c r="AQ1143" s="30" t="s">
        <v>68</v>
      </c>
      <c r="AV1143" s="28">
        <f t="shared" si="86"/>
        <v>0</v>
      </c>
      <c r="AW1143" s="28">
        <f t="shared" si="87"/>
        <v>0</v>
      </c>
      <c r="AX1143" s="28">
        <f t="shared" si="88"/>
        <v>0</v>
      </c>
      <c r="AY1143" s="30" t="s">
        <v>2085</v>
      </c>
      <c r="AZ1143" s="30" t="s">
        <v>2028</v>
      </c>
      <c r="BA1143" s="10" t="s">
        <v>2029</v>
      </c>
      <c r="BC1143" s="28">
        <f t="shared" si="89"/>
        <v>0</v>
      </c>
      <c r="BD1143" s="28">
        <f t="shared" si="90"/>
        <v>0</v>
      </c>
      <c r="BE1143" s="28">
        <v>0</v>
      </c>
      <c r="BF1143" s="28">
        <f>1143</f>
        <v>1143</v>
      </c>
      <c r="BH1143" s="28">
        <f t="shared" si="91"/>
        <v>0</v>
      </c>
      <c r="BI1143" s="28">
        <f t="shared" si="92"/>
        <v>0</v>
      </c>
      <c r="BJ1143" s="28">
        <f t="shared" si="93"/>
        <v>0</v>
      </c>
      <c r="BK1143" s="28"/>
      <c r="BL1143" s="28"/>
      <c r="BW1143" s="28">
        <v>21</v>
      </c>
    </row>
    <row r="1144" spans="1:75" ht="13.5" customHeight="1" x14ac:dyDescent="0.25">
      <c r="A1144" s="2" t="s">
        <v>2095</v>
      </c>
      <c r="B1144" s="3" t="s">
        <v>2096</v>
      </c>
      <c r="C1144" s="83" t="s">
        <v>2097</v>
      </c>
      <c r="D1144" s="80"/>
      <c r="E1144" s="3" t="s">
        <v>78</v>
      </c>
      <c r="F1144" s="28">
        <v>10</v>
      </c>
      <c r="G1144" s="28">
        <v>0</v>
      </c>
      <c r="H1144" s="28">
        <f t="shared" si="72"/>
        <v>0</v>
      </c>
      <c r="I1144" s="28">
        <f t="shared" si="73"/>
        <v>0</v>
      </c>
      <c r="J1144" s="28">
        <f t="shared" si="74"/>
        <v>0</v>
      </c>
      <c r="K1144" s="29" t="s">
        <v>61</v>
      </c>
      <c r="Z1144" s="28">
        <f t="shared" si="75"/>
        <v>0</v>
      </c>
      <c r="AB1144" s="28">
        <f t="shared" si="76"/>
        <v>0</v>
      </c>
      <c r="AC1144" s="28">
        <f t="shared" si="77"/>
        <v>0</v>
      </c>
      <c r="AD1144" s="28">
        <f t="shared" si="78"/>
        <v>0</v>
      </c>
      <c r="AE1144" s="28">
        <f t="shared" si="79"/>
        <v>0</v>
      </c>
      <c r="AF1144" s="28">
        <f t="shared" si="80"/>
        <v>0</v>
      </c>
      <c r="AG1144" s="28">
        <f t="shared" si="81"/>
        <v>0</v>
      </c>
      <c r="AH1144" s="28">
        <f t="shared" si="82"/>
        <v>0</v>
      </c>
      <c r="AI1144" s="10" t="s">
        <v>2024</v>
      </c>
      <c r="AJ1144" s="28">
        <f t="shared" si="83"/>
        <v>0</v>
      </c>
      <c r="AK1144" s="28">
        <f t="shared" si="84"/>
        <v>0</v>
      </c>
      <c r="AL1144" s="28">
        <f t="shared" si="85"/>
        <v>0</v>
      </c>
      <c r="AN1144" s="28">
        <v>21</v>
      </c>
      <c r="AO1144" s="28">
        <f>G1144*1</f>
        <v>0</v>
      </c>
      <c r="AP1144" s="28">
        <f>G1144*(1-1)</f>
        <v>0</v>
      </c>
      <c r="AQ1144" s="30" t="s">
        <v>57</v>
      </c>
      <c r="AV1144" s="28">
        <f t="shared" si="86"/>
        <v>0</v>
      </c>
      <c r="AW1144" s="28">
        <f t="shared" si="87"/>
        <v>0</v>
      </c>
      <c r="AX1144" s="28">
        <f t="shared" si="88"/>
        <v>0</v>
      </c>
      <c r="AY1144" s="30" t="s">
        <v>2085</v>
      </c>
      <c r="AZ1144" s="30" t="s">
        <v>2028</v>
      </c>
      <c r="BA1144" s="10" t="s">
        <v>2029</v>
      </c>
      <c r="BC1144" s="28">
        <f t="shared" si="89"/>
        <v>0</v>
      </c>
      <c r="BD1144" s="28">
        <f t="shared" si="90"/>
        <v>0</v>
      </c>
      <c r="BE1144" s="28">
        <v>0</v>
      </c>
      <c r="BF1144" s="28">
        <f>1144</f>
        <v>1144</v>
      </c>
      <c r="BH1144" s="28">
        <f t="shared" si="91"/>
        <v>0</v>
      </c>
      <c r="BI1144" s="28">
        <f t="shared" si="92"/>
        <v>0</v>
      </c>
      <c r="BJ1144" s="28">
        <f t="shared" si="93"/>
        <v>0</v>
      </c>
      <c r="BK1144" s="28"/>
      <c r="BL1144" s="28"/>
      <c r="BW1144" s="28">
        <v>21</v>
      </c>
    </row>
    <row r="1145" spans="1:75" ht="13.5" customHeight="1" x14ac:dyDescent="0.25">
      <c r="A1145" s="2" t="s">
        <v>2098</v>
      </c>
      <c r="B1145" s="3" t="s">
        <v>2099</v>
      </c>
      <c r="C1145" s="83" t="s">
        <v>2100</v>
      </c>
      <c r="D1145" s="80"/>
      <c r="E1145" s="3" t="s">
        <v>172</v>
      </c>
      <c r="F1145" s="28">
        <v>1</v>
      </c>
      <c r="G1145" s="28">
        <v>0</v>
      </c>
      <c r="H1145" s="28">
        <f t="shared" si="72"/>
        <v>0</v>
      </c>
      <c r="I1145" s="28">
        <f t="shared" si="73"/>
        <v>0</v>
      </c>
      <c r="J1145" s="28">
        <f t="shared" si="74"/>
        <v>0</v>
      </c>
      <c r="K1145" s="29" t="s">
        <v>1491</v>
      </c>
      <c r="Z1145" s="28">
        <f t="shared" si="75"/>
        <v>0</v>
      </c>
      <c r="AB1145" s="28">
        <f t="shared" si="76"/>
        <v>0</v>
      </c>
      <c r="AC1145" s="28">
        <f t="shared" si="77"/>
        <v>0</v>
      </c>
      <c r="AD1145" s="28">
        <f t="shared" si="78"/>
        <v>0</v>
      </c>
      <c r="AE1145" s="28">
        <f t="shared" si="79"/>
        <v>0</v>
      </c>
      <c r="AF1145" s="28">
        <f t="shared" si="80"/>
        <v>0</v>
      </c>
      <c r="AG1145" s="28">
        <f t="shared" si="81"/>
        <v>0</v>
      </c>
      <c r="AH1145" s="28">
        <f t="shared" si="82"/>
        <v>0</v>
      </c>
      <c r="AI1145" s="10" t="s">
        <v>2024</v>
      </c>
      <c r="AJ1145" s="28">
        <f t="shared" si="83"/>
        <v>0</v>
      </c>
      <c r="AK1145" s="28">
        <f t="shared" si="84"/>
        <v>0</v>
      </c>
      <c r="AL1145" s="28">
        <f t="shared" si="85"/>
        <v>0</v>
      </c>
      <c r="AN1145" s="28">
        <v>21</v>
      </c>
      <c r="AO1145" s="28">
        <f>G1145*0.694444444</f>
        <v>0</v>
      </c>
      <c r="AP1145" s="28">
        <f>G1145*(1-0.694444444)</f>
        <v>0</v>
      </c>
      <c r="AQ1145" s="30" t="s">
        <v>68</v>
      </c>
      <c r="AV1145" s="28">
        <f t="shared" si="86"/>
        <v>0</v>
      </c>
      <c r="AW1145" s="28">
        <f t="shared" si="87"/>
        <v>0</v>
      </c>
      <c r="AX1145" s="28">
        <f t="shared" si="88"/>
        <v>0</v>
      </c>
      <c r="AY1145" s="30" t="s">
        <v>2085</v>
      </c>
      <c r="AZ1145" s="30" t="s">
        <v>2028</v>
      </c>
      <c r="BA1145" s="10" t="s">
        <v>2029</v>
      </c>
      <c r="BC1145" s="28">
        <f t="shared" si="89"/>
        <v>0</v>
      </c>
      <c r="BD1145" s="28">
        <f t="shared" si="90"/>
        <v>0</v>
      </c>
      <c r="BE1145" s="28">
        <v>0</v>
      </c>
      <c r="BF1145" s="28">
        <f>1145</f>
        <v>1145</v>
      </c>
      <c r="BH1145" s="28">
        <f t="shared" si="91"/>
        <v>0</v>
      </c>
      <c r="BI1145" s="28">
        <f t="shared" si="92"/>
        <v>0</v>
      </c>
      <c r="BJ1145" s="28">
        <f t="shared" si="93"/>
        <v>0</v>
      </c>
      <c r="BK1145" s="28"/>
      <c r="BL1145" s="28"/>
      <c r="BW1145" s="28">
        <v>21</v>
      </c>
    </row>
    <row r="1146" spans="1:75" ht="13.5" customHeight="1" x14ac:dyDescent="0.25">
      <c r="A1146" s="2" t="s">
        <v>2101</v>
      </c>
      <c r="B1146" s="3" t="s">
        <v>2102</v>
      </c>
      <c r="C1146" s="83" t="s">
        <v>2103</v>
      </c>
      <c r="D1146" s="80"/>
      <c r="E1146" s="3" t="s">
        <v>78</v>
      </c>
      <c r="F1146" s="28">
        <v>2</v>
      </c>
      <c r="G1146" s="28">
        <v>0</v>
      </c>
      <c r="H1146" s="28">
        <f t="shared" si="72"/>
        <v>0</v>
      </c>
      <c r="I1146" s="28">
        <f t="shared" si="73"/>
        <v>0</v>
      </c>
      <c r="J1146" s="28">
        <f t="shared" si="74"/>
        <v>0</v>
      </c>
      <c r="K1146" s="29" t="s">
        <v>1491</v>
      </c>
      <c r="Z1146" s="28">
        <f t="shared" si="75"/>
        <v>0</v>
      </c>
      <c r="AB1146" s="28">
        <f t="shared" si="76"/>
        <v>0</v>
      </c>
      <c r="AC1146" s="28">
        <f t="shared" si="77"/>
        <v>0</v>
      </c>
      <c r="AD1146" s="28">
        <f t="shared" si="78"/>
        <v>0</v>
      </c>
      <c r="AE1146" s="28">
        <f t="shared" si="79"/>
        <v>0</v>
      </c>
      <c r="AF1146" s="28">
        <f t="shared" si="80"/>
        <v>0</v>
      </c>
      <c r="AG1146" s="28">
        <f t="shared" si="81"/>
        <v>0</v>
      </c>
      <c r="AH1146" s="28">
        <f t="shared" si="82"/>
        <v>0</v>
      </c>
      <c r="AI1146" s="10" t="s">
        <v>2024</v>
      </c>
      <c r="AJ1146" s="28">
        <f t="shared" si="83"/>
        <v>0</v>
      </c>
      <c r="AK1146" s="28">
        <f t="shared" si="84"/>
        <v>0</v>
      </c>
      <c r="AL1146" s="28">
        <f t="shared" si="85"/>
        <v>0</v>
      </c>
      <c r="AN1146" s="28">
        <v>21</v>
      </c>
      <c r="AO1146" s="28">
        <f>G1146*0.434782609</f>
        <v>0</v>
      </c>
      <c r="AP1146" s="28">
        <f>G1146*(1-0.434782609)</f>
        <v>0</v>
      </c>
      <c r="AQ1146" s="30" t="s">
        <v>68</v>
      </c>
      <c r="AV1146" s="28">
        <f t="shared" si="86"/>
        <v>0</v>
      </c>
      <c r="AW1146" s="28">
        <f t="shared" si="87"/>
        <v>0</v>
      </c>
      <c r="AX1146" s="28">
        <f t="shared" si="88"/>
        <v>0</v>
      </c>
      <c r="AY1146" s="30" t="s">
        <v>2085</v>
      </c>
      <c r="AZ1146" s="30" t="s">
        <v>2028</v>
      </c>
      <c r="BA1146" s="10" t="s">
        <v>2029</v>
      </c>
      <c r="BC1146" s="28">
        <f t="shared" si="89"/>
        <v>0</v>
      </c>
      <c r="BD1146" s="28">
        <f t="shared" si="90"/>
        <v>0</v>
      </c>
      <c r="BE1146" s="28">
        <v>0</v>
      </c>
      <c r="BF1146" s="28">
        <f>1146</f>
        <v>1146</v>
      </c>
      <c r="BH1146" s="28">
        <f t="shared" si="91"/>
        <v>0</v>
      </c>
      <c r="BI1146" s="28">
        <f t="shared" si="92"/>
        <v>0</v>
      </c>
      <c r="BJ1146" s="28">
        <f t="shared" si="93"/>
        <v>0</v>
      </c>
      <c r="BK1146" s="28"/>
      <c r="BL1146" s="28"/>
      <c r="BW1146" s="28">
        <v>21</v>
      </c>
    </row>
    <row r="1147" spans="1:75" ht="13.5" customHeight="1" x14ac:dyDescent="0.25">
      <c r="A1147" s="2" t="s">
        <v>2104</v>
      </c>
      <c r="B1147" s="3" t="s">
        <v>2102</v>
      </c>
      <c r="C1147" s="83" t="s">
        <v>2105</v>
      </c>
      <c r="D1147" s="80"/>
      <c r="E1147" s="3" t="s">
        <v>128</v>
      </c>
      <c r="F1147" s="28">
        <v>1</v>
      </c>
      <c r="G1147" s="28">
        <v>0</v>
      </c>
      <c r="H1147" s="28">
        <f t="shared" si="72"/>
        <v>0</v>
      </c>
      <c r="I1147" s="28">
        <f t="shared" si="73"/>
        <v>0</v>
      </c>
      <c r="J1147" s="28">
        <f t="shared" si="74"/>
        <v>0</v>
      </c>
      <c r="K1147" s="29" t="s">
        <v>1491</v>
      </c>
      <c r="Z1147" s="28">
        <f t="shared" si="75"/>
        <v>0</v>
      </c>
      <c r="AB1147" s="28">
        <f t="shared" si="76"/>
        <v>0</v>
      </c>
      <c r="AC1147" s="28">
        <f t="shared" si="77"/>
        <v>0</v>
      </c>
      <c r="AD1147" s="28">
        <f t="shared" si="78"/>
        <v>0</v>
      </c>
      <c r="AE1147" s="28">
        <f t="shared" si="79"/>
        <v>0</v>
      </c>
      <c r="AF1147" s="28">
        <f t="shared" si="80"/>
        <v>0</v>
      </c>
      <c r="AG1147" s="28">
        <f t="shared" si="81"/>
        <v>0</v>
      </c>
      <c r="AH1147" s="28">
        <f t="shared" si="82"/>
        <v>0</v>
      </c>
      <c r="AI1147" s="10" t="s">
        <v>2024</v>
      </c>
      <c r="AJ1147" s="28">
        <f t="shared" si="83"/>
        <v>0</v>
      </c>
      <c r="AK1147" s="28">
        <f t="shared" si="84"/>
        <v>0</v>
      </c>
      <c r="AL1147" s="28">
        <f t="shared" si="85"/>
        <v>0</v>
      </c>
      <c r="AN1147" s="28">
        <v>21</v>
      </c>
      <c r="AO1147" s="28">
        <f>G1147*0.5</f>
        <v>0</v>
      </c>
      <c r="AP1147" s="28">
        <f>G1147*(1-0.5)</f>
        <v>0</v>
      </c>
      <c r="AQ1147" s="30" t="s">
        <v>68</v>
      </c>
      <c r="AV1147" s="28">
        <f t="shared" si="86"/>
        <v>0</v>
      </c>
      <c r="AW1147" s="28">
        <f t="shared" si="87"/>
        <v>0</v>
      </c>
      <c r="AX1147" s="28">
        <f t="shared" si="88"/>
        <v>0</v>
      </c>
      <c r="AY1147" s="30" t="s">
        <v>2085</v>
      </c>
      <c r="AZ1147" s="30" t="s">
        <v>2028</v>
      </c>
      <c r="BA1147" s="10" t="s">
        <v>2029</v>
      </c>
      <c r="BC1147" s="28">
        <f t="shared" si="89"/>
        <v>0</v>
      </c>
      <c r="BD1147" s="28">
        <f t="shared" si="90"/>
        <v>0</v>
      </c>
      <c r="BE1147" s="28">
        <v>0</v>
      </c>
      <c r="BF1147" s="28">
        <f>1147</f>
        <v>1147</v>
      </c>
      <c r="BH1147" s="28">
        <f t="shared" si="91"/>
        <v>0</v>
      </c>
      <c r="BI1147" s="28">
        <f t="shared" si="92"/>
        <v>0</v>
      </c>
      <c r="BJ1147" s="28">
        <f t="shared" si="93"/>
        <v>0</v>
      </c>
      <c r="BK1147" s="28"/>
      <c r="BL1147" s="28"/>
      <c r="BW1147" s="28">
        <v>21</v>
      </c>
    </row>
    <row r="1148" spans="1:75" ht="13.5" customHeight="1" x14ac:dyDescent="0.25">
      <c r="A1148" s="2" t="s">
        <v>2106</v>
      </c>
      <c r="B1148" s="3" t="s">
        <v>2107</v>
      </c>
      <c r="C1148" s="83" t="s">
        <v>2108</v>
      </c>
      <c r="D1148" s="80"/>
      <c r="E1148" s="3" t="s">
        <v>128</v>
      </c>
      <c r="F1148" s="28">
        <v>1</v>
      </c>
      <c r="G1148" s="28">
        <v>0</v>
      </c>
      <c r="H1148" s="28">
        <f t="shared" si="72"/>
        <v>0</v>
      </c>
      <c r="I1148" s="28">
        <f t="shared" si="73"/>
        <v>0</v>
      </c>
      <c r="J1148" s="28">
        <f t="shared" si="74"/>
        <v>0</v>
      </c>
      <c r="K1148" s="29" t="s">
        <v>52</v>
      </c>
      <c r="Z1148" s="28">
        <f t="shared" si="75"/>
        <v>0</v>
      </c>
      <c r="AB1148" s="28">
        <f t="shared" si="76"/>
        <v>0</v>
      </c>
      <c r="AC1148" s="28">
        <f t="shared" si="77"/>
        <v>0</v>
      </c>
      <c r="AD1148" s="28">
        <f t="shared" si="78"/>
        <v>0</v>
      </c>
      <c r="AE1148" s="28">
        <f t="shared" si="79"/>
        <v>0</v>
      </c>
      <c r="AF1148" s="28">
        <f t="shared" si="80"/>
        <v>0</v>
      </c>
      <c r="AG1148" s="28">
        <f t="shared" si="81"/>
        <v>0</v>
      </c>
      <c r="AH1148" s="28">
        <f t="shared" si="82"/>
        <v>0</v>
      </c>
      <c r="AI1148" s="10" t="s">
        <v>2024</v>
      </c>
      <c r="AJ1148" s="28">
        <f t="shared" si="83"/>
        <v>0</v>
      </c>
      <c r="AK1148" s="28">
        <f t="shared" si="84"/>
        <v>0</v>
      </c>
      <c r="AL1148" s="28">
        <f t="shared" si="85"/>
        <v>0</v>
      </c>
      <c r="AN1148" s="28">
        <v>21</v>
      </c>
      <c r="AO1148" s="28">
        <f>G1148*0.5</f>
        <v>0</v>
      </c>
      <c r="AP1148" s="28">
        <f>G1148*(1-0.5)</f>
        <v>0</v>
      </c>
      <c r="AQ1148" s="30" t="s">
        <v>57</v>
      </c>
      <c r="AV1148" s="28">
        <f t="shared" si="86"/>
        <v>0</v>
      </c>
      <c r="AW1148" s="28">
        <f t="shared" si="87"/>
        <v>0</v>
      </c>
      <c r="AX1148" s="28">
        <f t="shared" si="88"/>
        <v>0</v>
      </c>
      <c r="AY1148" s="30" t="s">
        <v>2085</v>
      </c>
      <c r="AZ1148" s="30" t="s">
        <v>2028</v>
      </c>
      <c r="BA1148" s="10" t="s">
        <v>2029</v>
      </c>
      <c r="BC1148" s="28">
        <f t="shared" si="89"/>
        <v>0</v>
      </c>
      <c r="BD1148" s="28">
        <f t="shared" si="90"/>
        <v>0</v>
      </c>
      <c r="BE1148" s="28">
        <v>0</v>
      </c>
      <c r="BF1148" s="28">
        <f>1148</f>
        <v>1148</v>
      </c>
      <c r="BH1148" s="28">
        <f t="shared" si="91"/>
        <v>0</v>
      </c>
      <c r="BI1148" s="28">
        <f t="shared" si="92"/>
        <v>0</v>
      </c>
      <c r="BJ1148" s="28">
        <f t="shared" si="93"/>
        <v>0</v>
      </c>
      <c r="BK1148" s="28"/>
      <c r="BL1148" s="28"/>
      <c r="BW1148" s="28">
        <v>21</v>
      </c>
    </row>
    <row r="1149" spans="1:75" x14ac:dyDescent="0.25">
      <c r="A1149" s="24" t="s">
        <v>52</v>
      </c>
      <c r="B1149" s="25" t="s">
        <v>2109</v>
      </c>
      <c r="C1149" s="139" t="s">
        <v>2110</v>
      </c>
      <c r="D1149" s="140"/>
      <c r="E1149" s="26" t="s">
        <v>4</v>
      </c>
      <c r="F1149" s="26" t="s">
        <v>4</v>
      </c>
      <c r="G1149" s="26" t="s">
        <v>4</v>
      </c>
      <c r="H1149" s="1">
        <f>SUM(H1150:H1152)</f>
        <v>0</v>
      </c>
      <c r="I1149" s="1">
        <f>SUM(I1150:I1152)</f>
        <v>0</v>
      </c>
      <c r="J1149" s="1">
        <f>SUM(J1150:J1152)</f>
        <v>0</v>
      </c>
      <c r="K1149" s="27" t="s">
        <v>52</v>
      </c>
      <c r="AI1149" s="10" t="s">
        <v>2024</v>
      </c>
      <c r="AS1149" s="1">
        <f>SUM(AJ1150:AJ1152)</f>
        <v>0</v>
      </c>
      <c r="AT1149" s="1">
        <f>SUM(AK1150:AK1152)</f>
        <v>0</v>
      </c>
      <c r="AU1149" s="1">
        <f>SUM(AL1150:AL1152)</f>
        <v>0</v>
      </c>
    </row>
    <row r="1150" spans="1:75" ht="13.5" customHeight="1" x14ac:dyDescent="0.25">
      <c r="A1150" s="2" t="s">
        <v>2111</v>
      </c>
      <c r="B1150" s="3" t="s">
        <v>2102</v>
      </c>
      <c r="C1150" s="83" t="s">
        <v>2112</v>
      </c>
      <c r="D1150" s="80"/>
      <c r="E1150" s="3" t="s">
        <v>172</v>
      </c>
      <c r="F1150" s="28">
        <v>1</v>
      </c>
      <c r="G1150" s="28">
        <v>0</v>
      </c>
      <c r="H1150" s="28">
        <f>F1150*AO1150</f>
        <v>0</v>
      </c>
      <c r="I1150" s="28">
        <f>F1150*AP1150</f>
        <v>0</v>
      </c>
      <c r="J1150" s="28">
        <f>F1150*G1150</f>
        <v>0</v>
      </c>
      <c r="K1150" s="29" t="s">
        <v>1491</v>
      </c>
      <c r="Z1150" s="28">
        <f>IF(AQ1150="5",BJ1150,0)</f>
        <v>0</v>
      </c>
      <c r="AB1150" s="28">
        <f>IF(AQ1150="1",BH1150,0)</f>
        <v>0</v>
      </c>
      <c r="AC1150" s="28">
        <f>IF(AQ1150="1",BI1150,0)</f>
        <v>0</v>
      </c>
      <c r="AD1150" s="28">
        <f>IF(AQ1150="7",BH1150,0)</f>
        <v>0</v>
      </c>
      <c r="AE1150" s="28">
        <f>IF(AQ1150="7",BI1150,0)</f>
        <v>0</v>
      </c>
      <c r="AF1150" s="28">
        <f>IF(AQ1150="2",BH1150,0)</f>
        <v>0</v>
      </c>
      <c r="AG1150" s="28">
        <f>IF(AQ1150="2",BI1150,0)</f>
        <v>0</v>
      </c>
      <c r="AH1150" s="28">
        <f>IF(AQ1150="0",BJ1150,0)</f>
        <v>0</v>
      </c>
      <c r="AI1150" s="10" t="s">
        <v>2024</v>
      </c>
      <c r="AJ1150" s="28">
        <f>IF(AN1150=0,J1150,0)</f>
        <v>0</v>
      </c>
      <c r="AK1150" s="28">
        <f>IF(AN1150=12,J1150,0)</f>
        <v>0</v>
      </c>
      <c r="AL1150" s="28">
        <f>IF(AN1150=21,J1150,0)</f>
        <v>0</v>
      </c>
      <c r="AN1150" s="28">
        <v>21</v>
      </c>
      <c r="AO1150" s="28">
        <f>G1150*0.739197531</f>
        <v>0</v>
      </c>
      <c r="AP1150" s="28">
        <f>G1150*(1-0.739197531)</f>
        <v>0</v>
      </c>
      <c r="AQ1150" s="30" t="s">
        <v>68</v>
      </c>
      <c r="AV1150" s="28">
        <f>AW1150+AX1150</f>
        <v>0</v>
      </c>
      <c r="AW1150" s="28">
        <f>F1150*AO1150</f>
        <v>0</v>
      </c>
      <c r="AX1150" s="28">
        <f>F1150*AP1150</f>
        <v>0</v>
      </c>
      <c r="AY1150" s="30" t="s">
        <v>2113</v>
      </c>
      <c r="AZ1150" s="30" t="s">
        <v>2046</v>
      </c>
      <c r="BA1150" s="10" t="s">
        <v>2029</v>
      </c>
      <c r="BC1150" s="28">
        <f>AW1150+AX1150</f>
        <v>0</v>
      </c>
      <c r="BD1150" s="28">
        <f>G1150/(100-BE1150)*100</f>
        <v>0</v>
      </c>
      <c r="BE1150" s="28">
        <v>0</v>
      </c>
      <c r="BF1150" s="28">
        <f>1150</f>
        <v>1150</v>
      </c>
      <c r="BH1150" s="28">
        <f>F1150*AO1150</f>
        <v>0</v>
      </c>
      <c r="BI1150" s="28">
        <f>F1150*AP1150</f>
        <v>0</v>
      </c>
      <c r="BJ1150" s="28">
        <f>F1150*G1150</f>
        <v>0</v>
      </c>
      <c r="BK1150" s="28"/>
      <c r="BL1150" s="28"/>
      <c r="BW1150" s="28">
        <v>21</v>
      </c>
    </row>
    <row r="1151" spans="1:75" ht="27" customHeight="1" x14ac:dyDescent="0.25">
      <c r="A1151" s="2" t="s">
        <v>2114</v>
      </c>
      <c r="B1151" s="3" t="s">
        <v>2102</v>
      </c>
      <c r="C1151" s="83" t="s">
        <v>2115</v>
      </c>
      <c r="D1151" s="80"/>
      <c r="E1151" s="3" t="s">
        <v>172</v>
      </c>
      <c r="F1151" s="28">
        <v>1</v>
      </c>
      <c r="G1151" s="28">
        <v>0</v>
      </c>
      <c r="H1151" s="28">
        <f>F1151*AO1151</f>
        <v>0</v>
      </c>
      <c r="I1151" s="28">
        <f>F1151*AP1151</f>
        <v>0</v>
      </c>
      <c r="J1151" s="28">
        <f>F1151*G1151</f>
        <v>0</v>
      </c>
      <c r="K1151" s="29" t="s">
        <v>1491</v>
      </c>
      <c r="Z1151" s="28">
        <f>IF(AQ1151="5",BJ1151,0)</f>
        <v>0</v>
      </c>
      <c r="AB1151" s="28">
        <f>IF(AQ1151="1",BH1151,0)</f>
        <v>0</v>
      </c>
      <c r="AC1151" s="28">
        <f>IF(AQ1151="1",BI1151,0)</f>
        <v>0</v>
      </c>
      <c r="AD1151" s="28">
        <f>IF(AQ1151="7",BH1151,0)</f>
        <v>0</v>
      </c>
      <c r="AE1151" s="28">
        <f>IF(AQ1151="7",BI1151,0)</f>
        <v>0</v>
      </c>
      <c r="AF1151" s="28">
        <f>IF(AQ1151="2",BH1151,0)</f>
        <v>0</v>
      </c>
      <c r="AG1151" s="28">
        <f>IF(AQ1151="2",BI1151,0)</f>
        <v>0</v>
      </c>
      <c r="AH1151" s="28">
        <f>IF(AQ1151="0",BJ1151,0)</f>
        <v>0</v>
      </c>
      <c r="AI1151" s="10" t="s">
        <v>2024</v>
      </c>
      <c r="AJ1151" s="28">
        <f>IF(AN1151=0,J1151,0)</f>
        <v>0</v>
      </c>
      <c r="AK1151" s="28">
        <f>IF(AN1151=12,J1151,0)</f>
        <v>0</v>
      </c>
      <c r="AL1151" s="28">
        <f>IF(AN1151=21,J1151,0)</f>
        <v>0</v>
      </c>
      <c r="AN1151" s="28">
        <v>21</v>
      </c>
      <c r="AO1151" s="28">
        <f>G1151*0.698682073</f>
        <v>0</v>
      </c>
      <c r="AP1151" s="28">
        <f>G1151*(1-0.698682073)</f>
        <v>0</v>
      </c>
      <c r="AQ1151" s="30" t="s">
        <v>68</v>
      </c>
      <c r="AV1151" s="28">
        <f>AW1151+AX1151</f>
        <v>0</v>
      </c>
      <c r="AW1151" s="28">
        <f>F1151*AO1151</f>
        <v>0</v>
      </c>
      <c r="AX1151" s="28">
        <f>F1151*AP1151</f>
        <v>0</v>
      </c>
      <c r="AY1151" s="30" t="s">
        <v>2113</v>
      </c>
      <c r="AZ1151" s="30" t="s">
        <v>2046</v>
      </c>
      <c r="BA1151" s="10" t="s">
        <v>2029</v>
      </c>
      <c r="BC1151" s="28">
        <f>AW1151+AX1151</f>
        <v>0</v>
      </c>
      <c r="BD1151" s="28">
        <f>G1151/(100-BE1151)*100</f>
        <v>0</v>
      </c>
      <c r="BE1151" s="28">
        <v>0</v>
      </c>
      <c r="BF1151" s="28">
        <f>1151</f>
        <v>1151</v>
      </c>
      <c r="BH1151" s="28">
        <f>F1151*AO1151</f>
        <v>0</v>
      </c>
      <c r="BI1151" s="28">
        <f>F1151*AP1151</f>
        <v>0</v>
      </c>
      <c r="BJ1151" s="28">
        <f>F1151*G1151</f>
        <v>0</v>
      </c>
      <c r="BK1151" s="28"/>
      <c r="BL1151" s="28"/>
      <c r="BW1151" s="28">
        <v>21</v>
      </c>
    </row>
    <row r="1152" spans="1:75" ht="13.5" customHeight="1" x14ac:dyDescent="0.25">
      <c r="A1152" s="2" t="s">
        <v>2116</v>
      </c>
      <c r="B1152" s="3" t="s">
        <v>2102</v>
      </c>
      <c r="C1152" s="83" t="s">
        <v>2117</v>
      </c>
      <c r="D1152" s="80"/>
      <c r="E1152" s="3" t="s">
        <v>128</v>
      </c>
      <c r="F1152" s="28">
        <v>1</v>
      </c>
      <c r="G1152" s="28">
        <v>0</v>
      </c>
      <c r="H1152" s="28">
        <f>F1152*AO1152</f>
        <v>0</v>
      </c>
      <c r="I1152" s="28">
        <f>F1152*AP1152</f>
        <v>0</v>
      </c>
      <c r="J1152" s="28">
        <f>F1152*G1152</f>
        <v>0</v>
      </c>
      <c r="K1152" s="29" t="s">
        <v>1491</v>
      </c>
      <c r="Z1152" s="28">
        <f>IF(AQ1152="5",BJ1152,0)</f>
        <v>0</v>
      </c>
      <c r="AB1152" s="28">
        <f>IF(AQ1152="1",BH1152,0)</f>
        <v>0</v>
      </c>
      <c r="AC1152" s="28">
        <f>IF(AQ1152="1",BI1152,0)</f>
        <v>0</v>
      </c>
      <c r="AD1152" s="28">
        <f>IF(AQ1152="7",BH1152,0)</f>
        <v>0</v>
      </c>
      <c r="AE1152" s="28">
        <f>IF(AQ1152="7",BI1152,0)</f>
        <v>0</v>
      </c>
      <c r="AF1152" s="28">
        <f>IF(AQ1152="2",BH1152,0)</f>
        <v>0</v>
      </c>
      <c r="AG1152" s="28">
        <f>IF(AQ1152="2",BI1152,0)</f>
        <v>0</v>
      </c>
      <c r="AH1152" s="28">
        <f>IF(AQ1152="0",BJ1152,0)</f>
        <v>0</v>
      </c>
      <c r="AI1152" s="10" t="s">
        <v>2024</v>
      </c>
      <c r="AJ1152" s="28">
        <f>IF(AN1152=0,J1152,0)</f>
        <v>0</v>
      </c>
      <c r="AK1152" s="28">
        <f>IF(AN1152=12,J1152,0)</f>
        <v>0</v>
      </c>
      <c r="AL1152" s="28">
        <f>IF(AN1152=21,J1152,0)</f>
        <v>0</v>
      </c>
      <c r="AN1152" s="28">
        <v>21</v>
      </c>
      <c r="AO1152" s="28">
        <f>G1152*0.5</f>
        <v>0</v>
      </c>
      <c r="AP1152" s="28">
        <f>G1152*(1-0.5)</f>
        <v>0</v>
      </c>
      <c r="AQ1152" s="30" t="s">
        <v>68</v>
      </c>
      <c r="AV1152" s="28">
        <f>AW1152+AX1152</f>
        <v>0</v>
      </c>
      <c r="AW1152" s="28">
        <f>F1152*AO1152</f>
        <v>0</v>
      </c>
      <c r="AX1152" s="28">
        <f>F1152*AP1152</f>
        <v>0</v>
      </c>
      <c r="AY1152" s="30" t="s">
        <v>2113</v>
      </c>
      <c r="AZ1152" s="30" t="s">
        <v>2046</v>
      </c>
      <c r="BA1152" s="10" t="s">
        <v>2029</v>
      </c>
      <c r="BC1152" s="28">
        <f>AW1152+AX1152</f>
        <v>0</v>
      </c>
      <c r="BD1152" s="28">
        <f>G1152/(100-BE1152)*100</f>
        <v>0</v>
      </c>
      <c r="BE1152" s="28">
        <v>0</v>
      </c>
      <c r="BF1152" s="28">
        <f>1152</f>
        <v>1152</v>
      </c>
      <c r="BH1152" s="28">
        <f>F1152*AO1152</f>
        <v>0</v>
      </c>
      <c r="BI1152" s="28">
        <f>F1152*AP1152</f>
        <v>0</v>
      </c>
      <c r="BJ1152" s="28">
        <f>F1152*G1152</f>
        <v>0</v>
      </c>
      <c r="BK1152" s="28"/>
      <c r="BL1152" s="28"/>
      <c r="BW1152" s="28">
        <v>21</v>
      </c>
    </row>
    <row r="1153" spans="1:75" x14ac:dyDescent="0.25">
      <c r="A1153" s="24" t="s">
        <v>52</v>
      </c>
      <c r="B1153" s="25" t="s">
        <v>2118</v>
      </c>
      <c r="C1153" s="139" t="s">
        <v>2119</v>
      </c>
      <c r="D1153" s="140"/>
      <c r="E1153" s="26" t="s">
        <v>4</v>
      </c>
      <c r="F1153" s="26" t="s">
        <v>4</v>
      </c>
      <c r="G1153" s="26" t="s">
        <v>4</v>
      </c>
      <c r="H1153" s="1">
        <f>SUM(H1154:H1158)</f>
        <v>0</v>
      </c>
      <c r="I1153" s="1">
        <f>SUM(I1154:I1158)</f>
        <v>0</v>
      </c>
      <c r="J1153" s="1">
        <f>SUM(J1154:J1158)</f>
        <v>0</v>
      </c>
      <c r="K1153" s="27" t="s">
        <v>52</v>
      </c>
      <c r="AI1153" s="10" t="s">
        <v>2024</v>
      </c>
      <c r="AS1153" s="1">
        <f>SUM(AJ1154:AJ1158)</f>
        <v>0</v>
      </c>
      <c r="AT1153" s="1">
        <f>SUM(AK1154:AK1158)</f>
        <v>0</v>
      </c>
      <c r="AU1153" s="1">
        <f>SUM(AL1154:AL1158)</f>
        <v>0</v>
      </c>
    </row>
    <row r="1154" spans="1:75" ht="13.5" customHeight="1" x14ac:dyDescent="0.25">
      <c r="A1154" s="2" t="s">
        <v>2120</v>
      </c>
      <c r="B1154" s="3" t="s">
        <v>2102</v>
      </c>
      <c r="C1154" s="83" t="s">
        <v>2121</v>
      </c>
      <c r="D1154" s="80"/>
      <c r="E1154" s="3" t="s">
        <v>172</v>
      </c>
      <c r="F1154" s="28">
        <v>4</v>
      </c>
      <c r="G1154" s="28">
        <v>0</v>
      </c>
      <c r="H1154" s="28">
        <f>F1154*AO1154</f>
        <v>0</v>
      </c>
      <c r="I1154" s="28">
        <f>F1154*AP1154</f>
        <v>0</v>
      </c>
      <c r="J1154" s="28">
        <f>F1154*G1154</f>
        <v>0</v>
      </c>
      <c r="K1154" s="29" t="s">
        <v>1491</v>
      </c>
      <c r="Z1154" s="28">
        <f>IF(AQ1154="5",BJ1154,0)</f>
        <v>0</v>
      </c>
      <c r="AB1154" s="28">
        <f>IF(AQ1154="1",BH1154,0)</f>
        <v>0</v>
      </c>
      <c r="AC1154" s="28">
        <f>IF(AQ1154="1",BI1154,0)</f>
        <v>0</v>
      </c>
      <c r="AD1154" s="28">
        <f>IF(AQ1154="7",BH1154,0)</f>
        <v>0</v>
      </c>
      <c r="AE1154" s="28">
        <f>IF(AQ1154="7",BI1154,0)</f>
        <v>0</v>
      </c>
      <c r="AF1154" s="28">
        <f>IF(AQ1154="2",BH1154,0)</f>
        <v>0</v>
      </c>
      <c r="AG1154" s="28">
        <f>IF(AQ1154="2",BI1154,0)</f>
        <v>0</v>
      </c>
      <c r="AH1154" s="28">
        <f>IF(AQ1154="0",BJ1154,0)</f>
        <v>0</v>
      </c>
      <c r="AI1154" s="10" t="s">
        <v>2024</v>
      </c>
      <c r="AJ1154" s="28">
        <f>IF(AN1154=0,J1154,0)</f>
        <v>0</v>
      </c>
      <c r="AK1154" s="28">
        <f>IF(AN1154=12,J1154,0)</f>
        <v>0</v>
      </c>
      <c r="AL1154" s="28">
        <f>IF(AN1154=21,J1154,0)</f>
        <v>0</v>
      </c>
      <c r="AN1154" s="28">
        <v>21</v>
      </c>
      <c r="AO1154" s="28">
        <f>G1154*0.666666667</f>
        <v>0</v>
      </c>
      <c r="AP1154" s="28">
        <f>G1154*(1-0.666666667)</f>
        <v>0</v>
      </c>
      <c r="AQ1154" s="30" t="s">
        <v>68</v>
      </c>
      <c r="AV1154" s="28">
        <f>AW1154+AX1154</f>
        <v>0</v>
      </c>
      <c r="AW1154" s="28">
        <f>F1154*AO1154</f>
        <v>0</v>
      </c>
      <c r="AX1154" s="28">
        <f>F1154*AP1154</f>
        <v>0</v>
      </c>
      <c r="AY1154" s="30" t="s">
        <v>2122</v>
      </c>
      <c r="AZ1154" s="30" t="s">
        <v>2123</v>
      </c>
      <c r="BA1154" s="10" t="s">
        <v>2029</v>
      </c>
      <c r="BC1154" s="28">
        <f>AW1154+AX1154</f>
        <v>0</v>
      </c>
      <c r="BD1154" s="28">
        <f>G1154/(100-BE1154)*100</f>
        <v>0</v>
      </c>
      <c r="BE1154" s="28">
        <v>0</v>
      </c>
      <c r="BF1154" s="28">
        <f>1154</f>
        <v>1154</v>
      </c>
      <c r="BH1154" s="28">
        <f>F1154*AO1154</f>
        <v>0</v>
      </c>
      <c r="BI1154" s="28">
        <f>F1154*AP1154</f>
        <v>0</v>
      </c>
      <c r="BJ1154" s="28">
        <f>F1154*G1154</f>
        <v>0</v>
      </c>
      <c r="BK1154" s="28"/>
      <c r="BL1154" s="28"/>
      <c r="BW1154" s="28">
        <v>21</v>
      </c>
    </row>
    <row r="1155" spans="1:75" ht="13.5" customHeight="1" x14ac:dyDescent="0.25">
      <c r="A1155" s="2" t="s">
        <v>2124</v>
      </c>
      <c r="B1155" s="3" t="s">
        <v>2125</v>
      </c>
      <c r="C1155" s="83" t="s">
        <v>2126</v>
      </c>
      <c r="D1155" s="80"/>
      <c r="E1155" s="3" t="s">
        <v>137</v>
      </c>
      <c r="F1155" s="28">
        <v>2</v>
      </c>
      <c r="G1155" s="28">
        <v>0</v>
      </c>
      <c r="H1155" s="28">
        <f>F1155*AO1155</f>
        <v>0</v>
      </c>
      <c r="I1155" s="28">
        <f>F1155*AP1155</f>
        <v>0</v>
      </c>
      <c r="J1155" s="28">
        <f>F1155*G1155</f>
        <v>0</v>
      </c>
      <c r="K1155" s="29" t="s">
        <v>61</v>
      </c>
      <c r="Z1155" s="28">
        <f>IF(AQ1155="5",BJ1155,0)</f>
        <v>0</v>
      </c>
      <c r="AB1155" s="28">
        <f>IF(AQ1155="1",BH1155,0)</f>
        <v>0</v>
      </c>
      <c r="AC1155" s="28">
        <f>IF(AQ1155="1",BI1155,0)</f>
        <v>0</v>
      </c>
      <c r="AD1155" s="28">
        <f>IF(AQ1155="7",BH1155,0)</f>
        <v>0</v>
      </c>
      <c r="AE1155" s="28">
        <f>IF(AQ1155="7",BI1155,0)</f>
        <v>0</v>
      </c>
      <c r="AF1155" s="28">
        <f>IF(AQ1155="2",BH1155,0)</f>
        <v>0</v>
      </c>
      <c r="AG1155" s="28">
        <f>IF(AQ1155="2",BI1155,0)</f>
        <v>0</v>
      </c>
      <c r="AH1155" s="28">
        <f>IF(AQ1155="0",BJ1155,0)</f>
        <v>0</v>
      </c>
      <c r="AI1155" s="10" t="s">
        <v>2024</v>
      </c>
      <c r="AJ1155" s="28">
        <f>IF(AN1155=0,J1155,0)</f>
        <v>0</v>
      </c>
      <c r="AK1155" s="28">
        <f>IF(AN1155=12,J1155,0)</f>
        <v>0</v>
      </c>
      <c r="AL1155" s="28">
        <f>IF(AN1155=21,J1155,0)</f>
        <v>0</v>
      </c>
      <c r="AN1155" s="28">
        <v>21</v>
      </c>
      <c r="AO1155" s="28">
        <f>G1155*0.433950413</f>
        <v>0</v>
      </c>
      <c r="AP1155" s="28">
        <f>G1155*(1-0.433950413)</f>
        <v>0</v>
      </c>
      <c r="AQ1155" s="30" t="s">
        <v>68</v>
      </c>
      <c r="AV1155" s="28">
        <f>AW1155+AX1155</f>
        <v>0</v>
      </c>
      <c r="AW1155" s="28">
        <f>F1155*AO1155</f>
        <v>0</v>
      </c>
      <c r="AX1155" s="28">
        <f>F1155*AP1155</f>
        <v>0</v>
      </c>
      <c r="AY1155" s="30" t="s">
        <v>2122</v>
      </c>
      <c r="AZ1155" s="30" t="s">
        <v>2123</v>
      </c>
      <c r="BA1155" s="10" t="s">
        <v>2029</v>
      </c>
      <c r="BC1155" s="28">
        <f>AW1155+AX1155</f>
        <v>0</v>
      </c>
      <c r="BD1155" s="28">
        <f>G1155/(100-BE1155)*100</f>
        <v>0</v>
      </c>
      <c r="BE1155" s="28">
        <v>0</v>
      </c>
      <c r="BF1155" s="28">
        <f>1155</f>
        <v>1155</v>
      </c>
      <c r="BH1155" s="28">
        <f>F1155*AO1155</f>
        <v>0</v>
      </c>
      <c r="BI1155" s="28">
        <f>F1155*AP1155</f>
        <v>0</v>
      </c>
      <c r="BJ1155" s="28">
        <f>F1155*G1155</f>
        <v>0</v>
      </c>
      <c r="BK1155" s="28"/>
      <c r="BL1155" s="28"/>
      <c r="BW1155" s="28">
        <v>21</v>
      </c>
    </row>
    <row r="1156" spans="1:75" ht="13.5" customHeight="1" x14ac:dyDescent="0.25">
      <c r="A1156" s="2" t="s">
        <v>2127</v>
      </c>
      <c r="B1156" s="3" t="s">
        <v>2128</v>
      </c>
      <c r="C1156" s="83" t="s">
        <v>2129</v>
      </c>
      <c r="D1156" s="80"/>
      <c r="E1156" s="3" t="s">
        <v>137</v>
      </c>
      <c r="F1156" s="28">
        <v>3</v>
      </c>
      <c r="G1156" s="28">
        <v>0</v>
      </c>
      <c r="H1156" s="28">
        <f>F1156*AO1156</f>
        <v>0</v>
      </c>
      <c r="I1156" s="28">
        <f>F1156*AP1156</f>
        <v>0</v>
      </c>
      <c r="J1156" s="28">
        <f>F1156*G1156</f>
        <v>0</v>
      </c>
      <c r="K1156" s="29" t="s">
        <v>61</v>
      </c>
      <c r="Z1156" s="28">
        <f>IF(AQ1156="5",BJ1156,0)</f>
        <v>0</v>
      </c>
      <c r="AB1156" s="28">
        <f>IF(AQ1156="1",BH1156,0)</f>
        <v>0</v>
      </c>
      <c r="AC1156" s="28">
        <f>IF(AQ1156="1",BI1156,0)</f>
        <v>0</v>
      </c>
      <c r="AD1156" s="28">
        <f>IF(AQ1156="7",BH1156,0)</f>
        <v>0</v>
      </c>
      <c r="AE1156" s="28">
        <f>IF(AQ1156="7",BI1156,0)</f>
        <v>0</v>
      </c>
      <c r="AF1156" s="28">
        <f>IF(AQ1156="2",BH1156,0)</f>
        <v>0</v>
      </c>
      <c r="AG1156" s="28">
        <f>IF(AQ1156="2",BI1156,0)</f>
        <v>0</v>
      </c>
      <c r="AH1156" s="28">
        <f>IF(AQ1156="0",BJ1156,0)</f>
        <v>0</v>
      </c>
      <c r="AI1156" s="10" t="s">
        <v>2024</v>
      </c>
      <c r="AJ1156" s="28">
        <f>IF(AN1156=0,J1156,0)</f>
        <v>0</v>
      </c>
      <c r="AK1156" s="28">
        <f>IF(AN1156=12,J1156,0)</f>
        <v>0</v>
      </c>
      <c r="AL1156" s="28">
        <f>IF(AN1156=21,J1156,0)</f>
        <v>0</v>
      </c>
      <c r="AN1156" s="28">
        <v>21</v>
      </c>
      <c r="AO1156" s="28">
        <f>G1156*0.749170484</f>
        <v>0</v>
      </c>
      <c r="AP1156" s="28">
        <f>G1156*(1-0.749170484)</f>
        <v>0</v>
      </c>
      <c r="AQ1156" s="30" t="s">
        <v>68</v>
      </c>
      <c r="AV1156" s="28">
        <f>AW1156+AX1156</f>
        <v>0</v>
      </c>
      <c r="AW1156" s="28">
        <f>F1156*AO1156</f>
        <v>0</v>
      </c>
      <c r="AX1156" s="28">
        <f>F1156*AP1156</f>
        <v>0</v>
      </c>
      <c r="AY1156" s="30" t="s">
        <v>2122</v>
      </c>
      <c r="AZ1156" s="30" t="s">
        <v>2123</v>
      </c>
      <c r="BA1156" s="10" t="s">
        <v>2029</v>
      </c>
      <c r="BC1156" s="28">
        <f>AW1156+AX1156</f>
        <v>0</v>
      </c>
      <c r="BD1156" s="28">
        <f>G1156/(100-BE1156)*100</f>
        <v>0</v>
      </c>
      <c r="BE1156" s="28">
        <v>0</v>
      </c>
      <c r="BF1156" s="28">
        <f>1156</f>
        <v>1156</v>
      </c>
      <c r="BH1156" s="28">
        <f>F1156*AO1156</f>
        <v>0</v>
      </c>
      <c r="BI1156" s="28">
        <f>F1156*AP1156</f>
        <v>0</v>
      </c>
      <c r="BJ1156" s="28">
        <f>F1156*G1156</f>
        <v>0</v>
      </c>
      <c r="BK1156" s="28"/>
      <c r="BL1156" s="28"/>
      <c r="BW1156" s="28">
        <v>21</v>
      </c>
    </row>
    <row r="1157" spans="1:75" ht="13.5" customHeight="1" x14ac:dyDescent="0.25">
      <c r="A1157" s="2" t="s">
        <v>2130</v>
      </c>
      <c r="B1157" s="3" t="s">
        <v>2131</v>
      </c>
      <c r="C1157" s="83" t="s">
        <v>2132</v>
      </c>
      <c r="D1157" s="80"/>
      <c r="E1157" s="3" t="s">
        <v>137</v>
      </c>
      <c r="F1157" s="28">
        <v>8</v>
      </c>
      <c r="G1157" s="28">
        <v>0</v>
      </c>
      <c r="H1157" s="28">
        <f>F1157*AO1157</f>
        <v>0</v>
      </c>
      <c r="I1157" s="28">
        <f>F1157*AP1157</f>
        <v>0</v>
      </c>
      <c r="J1157" s="28">
        <f>F1157*G1157</f>
        <v>0</v>
      </c>
      <c r="K1157" s="29" t="s">
        <v>61</v>
      </c>
      <c r="Z1157" s="28">
        <f>IF(AQ1157="5",BJ1157,0)</f>
        <v>0</v>
      </c>
      <c r="AB1157" s="28">
        <f>IF(AQ1157="1",BH1157,0)</f>
        <v>0</v>
      </c>
      <c r="AC1157" s="28">
        <f>IF(AQ1157="1",BI1157,0)</f>
        <v>0</v>
      </c>
      <c r="AD1157" s="28">
        <f>IF(AQ1157="7",BH1157,0)</f>
        <v>0</v>
      </c>
      <c r="AE1157" s="28">
        <f>IF(AQ1157="7",BI1157,0)</f>
        <v>0</v>
      </c>
      <c r="AF1157" s="28">
        <f>IF(AQ1157="2",BH1157,0)</f>
        <v>0</v>
      </c>
      <c r="AG1157" s="28">
        <f>IF(AQ1157="2",BI1157,0)</f>
        <v>0</v>
      </c>
      <c r="AH1157" s="28">
        <f>IF(AQ1157="0",BJ1157,0)</f>
        <v>0</v>
      </c>
      <c r="AI1157" s="10" t="s">
        <v>2024</v>
      </c>
      <c r="AJ1157" s="28">
        <f>IF(AN1157=0,J1157,0)</f>
        <v>0</v>
      </c>
      <c r="AK1157" s="28">
        <f>IF(AN1157=12,J1157,0)</f>
        <v>0</v>
      </c>
      <c r="AL1157" s="28">
        <f>IF(AN1157=21,J1157,0)</f>
        <v>0</v>
      </c>
      <c r="AN1157" s="28">
        <v>21</v>
      </c>
      <c r="AO1157" s="28">
        <f>G1157*0.57239819</f>
        <v>0</v>
      </c>
      <c r="AP1157" s="28">
        <f>G1157*(1-0.57239819)</f>
        <v>0</v>
      </c>
      <c r="AQ1157" s="30" t="s">
        <v>68</v>
      </c>
      <c r="AV1157" s="28">
        <f>AW1157+AX1157</f>
        <v>0</v>
      </c>
      <c r="AW1157" s="28">
        <f>F1157*AO1157</f>
        <v>0</v>
      </c>
      <c r="AX1157" s="28">
        <f>F1157*AP1157</f>
        <v>0</v>
      </c>
      <c r="AY1157" s="30" t="s">
        <v>2122</v>
      </c>
      <c r="AZ1157" s="30" t="s">
        <v>2123</v>
      </c>
      <c r="BA1157" s="10" t="s">
        <v>2029</v>
      </c>
      <c r="BC1157" s="28">
        <f>AW1157+AX1157</f>
        <v>0</v>
      </c>
      <c r="BD1157" s="28">
        <f>G1157/(100-BE1157)*100</f>
        <v>0</v>
      </c>
      <c r="BE1157" s="28">
        <v>0</v>
      </c>
      <c r="BF1157" s="28">
        <f>1157</f>
        <v>1157</v>
      </c>
      <c r="BH1157" s="28">
        <f>F1157*AO1157</f>
        <v>0</v>
      </c>
      <c r="BI1157" s="28">
        <f>F1157*AP1157</f>
        <v>0</v>
      </c>
      <c r="BJ1157" s="28">
        <f>F1157*G1157</f>
        <v>0</v>
      </c>
      <c r="BK1157" s="28"/>
      <c r="BL1157" s="28"/>
      <c r="BW1157" s="28">
        <v>21</v>
      </c>
    </row>
    <row r="1158" spans="1:75" ht="13.5" customHeight="1" x14ac:dyDescent="0.25">
      <c r="A1158" s="2" t="s">
        <v>2133</v>
      </c>
      <c r="B1158" s="3" t="s">
        <v>2102</v>
      </c>
      <c r="C1158" s="83" t="s">
        <v>2134</v>
      </c>
      <c r="D1158" s="80"/>
      <c r="E1158" s="3" t="s">
        <v>172</v>
      </c>
      <c r="F1158" s="28">
        <v>2</v>
      </c>
      <c r="G1158" s="28">
        <v>0</v>
      </c>
      <c r="H1158" s="28">
        <f>F1158*AO1158</f>
        <v>0</v>
      </c>
      <c r="I1158" s="28">
        <f>F1158*AP1158</f>
        <v>0</v>
      </c>
      <c r="J1158" s="28">
        <f>F1158*G1158</f>
        <v>0</v>
      </c>
      <c r="K1158" s="29" t="s">
        <v>1491</v>
      </c>
      <c r="Z1158" s="28">
        <f>IF(AQ1158="5",BJ1158,0)</f>
        <v>0</v>
      </c>
      <c r="AB1158" s="28">
        <f>IF(AQ1158="1",BH1158,0)</f>
        <v>0</v>
      </c>
      <c r="AC1158" s="28">
        <f>IF(AQ1158="1",BI1158,0)</f>
        <v>0</v>
      </c>
      <c r="AD1158" s="28">
        <f>IF(AQ1158="7",BH1158,0)</f>
        <v>0</v>
      </c>
      <c r="AE1158" s="28">
        <f>IF(AQ1158="7",BI1158,0)</f>
        <v>0</v>
      </c>
      <c r="AF1158" s="28">
        <f>IF(AQ1158="2",BH1158,0)</f>
        <v>0</v>
      </c>
      <c r="AG1158" s="28">
        <f>IF(AQ1158="2",BI1158,0)</f>
        <v>0</v>
      </c>
      <c r="AH1158" s="28">
        <f>IF(AQ1158="0",BJ1158,0)</f>
        <v>0</v>
      </c>
      <c r="AI1158" s="10" t="s">
        <v>2024</v>
      </c>
      <c r="AJ1158" s="28">
        <f>IF(AN1158=0,J1158,0)</f>
        <v>0</v>
      </c>
      <c r="AK1158" s="28">
        <f>IF(AN1158=12,J1158,0)</f>
        <v>0</v>
      </c>
      <c r="AL1158" s="28">
        <f>IF(AN1158=21,J1158,0)</f>
        <v>0</v>
      </c>
      <c r="AN1158" s="28">
        <v>21</v>
      </c>
      <c r="AO1158" s="28">
        <f>G1158*0.717741935</f>
        <v>0</v>
      </c>
      <c r="AP1158" s="28">
        <f>G1158*(1-0.717741935)</f>
        <v>0</v>
      </c>
      <c r="AQ1158" s="30" t="s">
        <v>68</v>
      </c>
      <c r="AV1158" s="28">
        <f>AW1158+AX1158</f>
        <v>0</v>
      </c>
      <c r="AW1158" s="28">
        <f>F1158*AO1158</f>
        <v>0</v>
      </c>
      <c r="AX1158" s="28">
        <f>F1158*AP1158</f>
        <v>0</v>
      </c>
      <c r="AY1158" s="30" t="s">
        <v>2122</v>
      </c>
      <c r="AZ1158" s="30" t="s">
        <v>2123</v>
      </c>
      <c r="BA1158" s="10" t="s">
        <v>2029</v>
      </c>
      <c r="BC1158" s="28">
        <f>AW1158+AX1158</f>
        <v>0</v>
      </c>
      <c r="BD1158" s="28">
        <f>G1158/(100-BE1158)*100</f>
        <v>0</v>
      </c>
      <c r="BE1158" s="28">
        <v>0</v>
      </c>
      <c r="BF1158" s="28">
        <f>1158</f>
        <v>1158</v>
      </c>
      <c r="BH1158" s="28">
        <f>F1158*AO1158</f>
        <v>0</v>
      </c>
      <c r="BI1158" s="28">
        <f>F1158*AP1158</f>
        <v>0</v>
      </c>
      <c r="BJ1158" s="28">
        <f>F1158*G1158</f>
        <v>0</v>
      </c>
      <c r="BK1158" s="28"/>
      <c r="BL1158" s="28"/>
      <c r="BW1158" s="28">
        <v>21</v>
      </c>
    </row>
    <row r="1159" spans="1:75" x14ac:dyDescent="0.25">
      <c r="A1159" s="24" t="s">
        <v>52</v>
      </c>
      <c r="B1159" s="25" t="s">
        <v>2135</v>
      </c>
      <c r="C1159" s="139" t="s">
        <v>2136</v>
      </c>
      <c r="D1159" s="140"/>
      <c r="E1159" s="26" t="s">
        <v>4</v>
      </c>
      <c r="F1159" s="26" t="s">
        <v>4</v>
      </c>
      <c r="G1159" s="26" t="s">
        <v>4</v>
      </c>
      <c r="H1159" s="1">
        <f>SUM(H1160:H1167)</f>
        <v>0</v>
      </c>
      <c r="I1159" s="1">
        <f>SUM(I1160:I1167)</f>
        <v>0</v>
      </c>
      <c r="J1159" s="1">
        <f>SUM(J1160:J1167)</f>
        <v>0</v>
      </c>
      <c r="K1159" s="27" t="s">
        <v>52</v>
      </c>
      <c r="AI1159" s="10" t="s">
        <v>2024</v>
      </c>
      <c r="AS1159" s="1">
        <f>SUM(AJ1160:AJ1167)</f>
        <v>0</v>
      </c>
      <c r="AT1159" s="1">
        <f>SUM(AK1160:AK1167)</f>
        <v>0</v>
      </c>
      <c r="AU1159" s="1">
        <f>SUM(AL1160:AL1167)</f>
        <v>0</v>
      </c>
    </row>
    <row r="1160" spans="1:75" ht="13.5" customHeight="1" x14ac:dyDescent="0.25">
      <c r="A1160" s="2" t="s">
        <v>2137</v>
      </c>
      <c r="B1160" s="3" t="s">
        <v>2102</v>
      </c>
      <c r="C1160" s="83" t="s">
        <v>2138</v>
      </c>
      <c r="D1160" s="80"/>
      <c r="E1160" s="3" t="s">
        <v>172</v>
      </c>
      <c r="F1160" s="28">
        <v>10</v>
      </c>
      <c r="G1160" s="28">
        <v>0</v>
      </c>
      <c r="H1160" s="28">
        <f t="shared" ref="H1160:H1167" si="94">F1160*AO1160</f>
        <v>0</v>
      </c>
      <c r="I1160" s="28">
        <f t="shared" ref="I1160:I1167" si="95">F1160*AP1160</f>
        <v>0</v>
      </c>
      <c r="J1160" s="28">
        <f t="shared" ref="J1160:J1167" si="96">F1160*G1160</f>
        <v>0</v>
      </c>
      <c r="K1160" s="29" t="s">
        <v>1491</v>
      </c>
      <c r="Z1160" s="28">
        <f t="shared" ref="Z1160:Z1167" si="97">IF(AQ1160="5",BJ1160,0)</f>
        <v>0</v>
      </c>
      <c r="AB1160" s="28">
        <f t="shared" ref="AB1160:AB1167" si="98">IF(AQ1160="1",BH1160,0)</f>
        <v>0</v>
      </c>
      <c r="AC1160" s="28">
        <f t="shared" ref="AC1160:AC1167" si="99">IF(AQ1160="1",BI1160,0)</f>
        <v>0</v>
      </c>
      <c r="AD1160" s="28">
        <f t="shared" ref="AD1160:AD1167" si="100">IF(AQ1160="7",BH1160,0)</f>
        <v>0</v>
      </c>
      <c r="AE1160" s="28">
        <f t="shared" ref="AE1160:AE1167" si="101">IF(AQ1160="7",BI1160,0)</f>
        <v>0</v>
      </c>
      <c r="AF1160" s="28">
        <f t="shared" ref="AF1160:AF1167" si="102">IF(AQ1160="2",BH1160,0)</f>
        <v>0</v>
      </c>
      <c r="AG1160" s="28">
        <f t="shared" ref="AG1160:AG1167" si="103">IF(AQ1160="2",BI1160,0)</f>
        <v>0</v>
      </c>
      <c r="AH1160" s="28">
        <f t="shared" ref="AH1160:AH1167" si="104">IF(AQ1160="0",BJ1160,0)</f>
        <v>0</v>
      </c>
      <c r="AI1160" s="10" t="s">
        <v>2024</v>
      </c>
      <c r="AJ1160" s="28">
        <f t="shared" ref="AJ1160:AJ1167" si="105">IF(AN1160=0,J1160,0)</f>
        <v>0</v>
      </c>
      <c r="AK1160" s="28">
        <f t="shared" ref="AK1160:AK1167" si="106">IF(AN1160=12,J1160,0)</f>
        <v>0</v>
      </c>
      <c r="AL1160" s="28">
        <f t="shared" ref="AL1160:AL1167" si="107">IF(AN1160=21,J1160,0)</f>
        <v>0</v>
      </c>
      <c r="AN1160" s="28">
        <v>21</v>
      </c>
      <c r="AO1160" s="28">
        <f>G1160*0.814814815</f>
        <v>0</v>
      </c>
      <c r="AP1160" s="28">
        <f>G1160*(1-0.814814815)</f>
        <v>0</v>
      </c>
      <c r="AQ1160" s="30" t="s">
        <v>68</v>
      </c>
      <c r="AV1160" s="28">
        <f t="shared" ref="AV1160:AV1167" si="108">AW1160+AX1160</f>
        <v>0</v>
      </c>
      <c r="AW1160" s="28">
        <f t="shared" ref="AW1160:AW1167" si="109">F1160*AO1160</f>
        <v>0</v>
      </c>
      <c r="AX1160" s="28">
        <f t="shared" ref="AX1160:AX1167" si="110">F1160*AP1160</f>
        <v>0</v>
      </c>
      <c r="AY1160" s="30" t="s">
        <v>2139</v>
      </c>
      <c r="AZ1160" s="30" t="s">
        <v>2123</v>
      </c>
      <c r="BA1160" s="10" t="s">
        <v>2029</v>
      </c>
      <c r="BC1160" s="28">
        <f t="shared" ref="BC1160:BC1167" si="111">AW1160+AX1160</f>
        <v>0</v>
      </c>
      <c r="BD1160" s="28">
        <f t="shared" ref="BD1160:BD1167" si="112">G1160/(100-BE1160)*100</f>
        <v>0</v>
      </c>
      <c r="BE1160" s="28">
        <v>0</v>
      </c>
      <c r="BF1160" s="28">
        <f>1160</f>
        <v>1160</v>
      </c>
      <c r="BH1160" s="28">
        <f t="shared" ref="BH1160:BH1167" si="113">F1160*AO1160</f>
        <v>0</v>
      </c>
      <c r="BI1160" s="28">
        <f t="shared" ref="BI1160:BI1167" si="114">F1160*AP1160</f>
        <v>0</v>
      </c>
      <c r="BJ1160" s="28">
        <f t="shared" ref="BJ1160:BJ1167" si="115">F1160*G1160</f>
        <v>0</v>
      </c>
      <c r="BK1160" s="28"/>
      <c r="BL1160" s="28"/>
      <c r="BW1160" s="28">
        <v>21</v>
      </c>
    </row>
    <row r="1161" spans="1:75" ht="13.5" customHeight="1" x14ac:dyDescent="0.25">
      <c r="A1161" s="2" t="s">
        <v>2140</v>
      </c>
      <c r="B1161" s="3" t="s">
        <v>2141</v>
      </c>
      <c r="C1161" s="83" t="s">
        <v>2142</v>
      </c>
      <c r="D1161" s="80"/>
      <c r="E1161" s="3" t="s">
        <v>172</v>
      </c>
      <c r="F1161" s="28">
        <v>10</v>
      </c>
      <c r="G1161" s="28">
        <v>0</v>
      </c>
      <c r="H1161" s="28">
        <f t="shared" si="94"/>
        <v>0</v>
      </c>
      <c r="I1161" s="28">
        <f t="shared" si="95"/>
        <v>0</v>
      </c>
      <c r="J1161" s="28">
        <f t="shared" si="96"/>
        <v>0</v>
      </c>
      <c r="K1161" s="29" t="s">
        <v>1491</v>
      </c>
      <c r="Z1161" s="28">
        <f t="shared" si="97"/>
        <v>0</v>
      </c>
      <c r="AB1161" s="28">
        <f t="shared" si="98"/>
        <v>0</v>
      </c>
      <c r="AC1161" s="28">
        <f t="shared" si="99"/>
        <v>0</v>
      </c>
      <c r="AD1161" s="28">
        <f t="shared" si="100"/>
        <v>0</v>
      </c>
      <c r="AE1161" s="28">
        <f t="shared" si="101"/>
        <v>0</v>
      </c>
      <c r="AF1161" s="28">
        <f t="shared" si="102"/>
        <v>0</v>
      </c>
      <c r="AG1161" s="28">
        <f t="shared" si="103"/>
        <v>0</v>
      </c>
      <c r="AH1161" s="28">
        <f t="shared" si="104"/>
        <v>0</v>
      </c>
      <c r="AI1161" s="10" t="s">
        <v>2024</v>
      </c>
      <c r="AJ1161" s="28">
        <f t="shared" si="105"/>
        <v>0</v>
      </c>
      <c r="AK1161" s="28">
        <f t="shared" si="106"/>
        <v>0</v>
      </c>
      <c r="AL1161" s="28">
        <f t="shared" si="107"/>
        <v>0</v>
      </c>
      <c r="AN1161" s="28">
        <v>21</v>
      </c>
      <c r="AO1161" s="28">
        <f>G1161*0.931506849</f>
        <v>0</v>
      </c>
      <c r="AP1161" s="28">
        <f>G1161*(1-0.931506849)</f>
        <v>0</v>
      </c>
      <c r="AQ1161" s="30" t="s">
        <v>68</v>
      </c>
      <c r="AV1161" s="28">
        <f t="shared" si="108"/>
        <v>0</v>
      </c>
      <c r="AW1161" s="28">
        <f t="shared" si="109"/>
        <v>0</v>
      </c>
      <c r="AX1161" s="28">
        <f t="shared" si="110"/>
        <v>0</v>
      </c>
      <c r="AY1161" s="30" t="s">
        <v>2139</v>
      </c>
      <c r="AZ1161" s="30" t="s">
        <v>2123</v>
      </c>
      <c r="BA1161" s="10" t="s">
        <v>2029</v>
      </c>
      <c r="BC1161" s="28">
        <f t="shared" si="111"/>
        <v>0</v>
      </c>
      <c r="BD1161" s="28">
        <f t="shared" si="112"/>
        <v>0</v>
      </c>
      <c r="BE1161" s="28">
        <v>0</v>
      </c>
      <c r="BF1161" s="28">
        <f>1161</f>
        <v>1161</v>
      </c>
      <c r="BH1161" s="28">
        <f t="shared" si="113"/>
        <v>0</v>
      </c>
      <c r="BI1161" s="28">
        <f t="shared" si="114"/>
        <v>0</v>
      </c>
      <c r="BJ1161" s="28">
        <f t="shared" si="115"/>
        <v>0</v>
      </c>
      <c r="BK1161" s="28"/>
      <c r="BL1161" s="28"/>
      <c r="BW1161" s="28">
        <v>21</v>
      </c>
    </row>
    <row r="1162" spans="1:75" ht="27" customHeight="1" x14ac:dyDescent="0.25">
      <c r="A1162" s="2" t="s">
        <v>2143</v>
      </c>
      <c r="B1162" s="3" t="s">
        <v>2144</v>
      </c>
      <c r="C1162" s="83" t="s">
        <v>2145</v>
      </c>
      <c r="D1162" s="80"/>
      <c r="E1162" s="3" t="s">
        <v>172</v>
      </c>
      <c r="F1162" s="28">
        <v>6</v>
      </c>
      <c r="G1162" s="28">
        <v>0</v>
      </c>
      <c r="H1162" s="28">
        <f t="shared" si="94"/>
        <v>0</v>
      </c>
      <c r="I1162" s="28">
        <f t="shared" si="95"/>
        <v>0</v>
      </c>
      <c r="J1162" s="28">
        <f t="shared" si="96"/>
        <v>0</v>
      </c>
      <c r="K1162" s="29" t="s">
        <v>1491</v>
      </c>
      <c r="Z1162" s="28">
        <f t="shared" si="97"/>
        <v>0</v>
      </c>
      <c r="AB1162" s="28">
        <f t="shared" si="98"/>
        <v>0</v>
      </c>
      <c r="AC1162" s="28">
        <f t="shared" si="99"/>
        <v>0</v>
      </c>
      <c r="AD1162" s="28">
        <f t="shared" si="100"/>
        <v>0</v>
      </c>
      <c r="AE1162" s="28">
        <f t="shared" si="101"/>
        <v>0</v>
      </c>
      <c r="AF1162" s="28">
        <f t="shared" si="102"/>
        <v>0</v>
      </c>
      <c r="AG1162" s="28">
        <f t="shared" si="103"/>
        <v>0</v>
      </c>
      <c r="AH1162" s="28">
        <f t="shared" si="104"/>
        <v>0</v>
      </c>
      <c r="AI1162" s="10" t="s">
        <v>2024</v>
      </c>
      <c r="AJ1162" s="28">
        <f t="shared" si="105"/>
        <v>0</v>
      </c>
      <c r="AK1162" s="28">
        <f t="shared" si="106"/>
        <v>0</v>
      </c>
      <c r="AL1162" s="28">
        <f t="shared" si="107"/>
        <v>0</v>
      </c>
      <c r="AN1162" s="28">
        <v>21</v>
      </c>
      <c r="AO1162" s="28">
        <f>G1162*0.947916667</f>
        <v>0</v>
      </c>
      <c r="AP1162" s="28">
        <f>G1162*(1-0.947916667)</f>
        <v>0</v>
      </c>
      <c r="AQ1162" s="30" t="s">
        <v>68</v>
      </c>
      <c r="AV1162" s="28">
        <f t="shared" si="108"/>
        <v>0</v>
      </c>
      <c r="AW1162" s="28">
        <f t="shared" si="109"/>
        <v>0</v>
      </c>
      <c r="AX1162" s="28">
        <f t="shared" si="110"/>
        <v>0</v>
      </c>
      <c r="AY1162" s="30" t="s">
        <v>2139</v>
      </c>
      <c r="AZ1162" s="30" t="s">
        <v>2123</v>
      </c>
      <c r="BA1162" s="10" t="s">
        <v>2029</v>
      </c>
      <c r="BC1162" s="28">
        <f t="shared" si="111"/>
        <v>0</v>
      </c>
      <c r="BD1162" s="28">
        <f t="shared" si="112"/>
        <v>0</v>
      </c>
      <c r="BE1162" s="28">
        <v>0</v>
      </c>
      <c r="BF1162" s="28">
        <f>1162</f>
        <v>1162</v>
      </c>
      <c r="BH1162" s="28">
        <f t="shared" si="113"/>
        <v>0</v>
      </c>
      <c r="BI1162" s="28">
        <f t="shared" si="114"/>
        <v>0</v>
      </c>
      <c r="BJ1162" s="28">
        <f t="shared" si="115"/>
        <v>0</v>
      </c>
      <c r="BK1162" s="28"/>
      <c r="BL1162" s="28"/>
      <c r="BW1162" s="28">
        <v>21</v>
      </c>
    </row>
    <row r="1163" spans="1:75" ht="13.5" customHeight="1" x14ac:dyDescent="0.25">
      <c r="A1163" s="2" t="s">
        <v>2146</v>
      </c>
      <c r="B1163" s="3" t="s">
        <v>2147</v>
      </c>
      <c r="C1163" s="83" t="s">
        <v>2148</v>
      </c>
      <c r="D1163" s="80"/>
      <c r="E1163" s="3" t="s">
        <v>172</v>
      </c>
      <c r="F1163" s="28">
        <v>2</v>
      </c>
      <c r="G1163" s="28">
        <v>0</v>
      </c>
      <c r="H1163" s="28">
        <f t="shared" si="94"/>
        <v>0</v>
      </c>
      <c r="I1163" s="28">
        <f t="shared" si="95"/>
        <v>0</v>
      </c>
      <c r="J1163" s="28">
        <f t="shared" si="96"/>
        <v>0</v>
      </c>
      <c r="K1163" s="29" t="s">
        <v>1491</v>
      </c>
      <c r="Z1163" s="28">
        <f t="shared" si="97"/>
        <v>0</v>
      </c>
      <c r="AB1163" s="28">
        <f t="shared" si="98"/>
        <v>0</v>
      </c>
      <c r="AC1163" s="28">
        <f t="shared" si="99"/>
        <v>0</v>
      </c>
      <c r="AD1163" s="28">
        <f t="shared" si="100"/>
        <v>0</v>
      </c>
      <c r="AE1163" s="28">
        <f t="shared" si="101"/>
        <v>0</v>
      </c>
      <c r="AF1163" s="28">
        <f t="shared" si="102"/>
        <v>0</v>
      </c>
      <c r="AG1163" s="28">
        <f t="shared" si="103"/>
        <v>0</v>
      </c>
      <c r="AH1163" s="28">
        <f t="shared" si="104"/>
        <v>0</v>
      </c>
      <c r="AI1163" s="10" t="s">
        <v>2024</v>
      </c>
      <c r="AJ1163" s="28">
        <f t="shared" si="105"/>
        <v>0</v>
      </c>
      <c r="AK1163" s="28">
        <f t="shared" si="106"/>
        <v>0</v>
      </c>
      <c r="AL1163" s="28">
        <f t="shared" si="107"/>
        <v>0</v>
      </c>
      <c r="AN1163" s="28">
        <v>21</v>
      </c>
      <c r="AO1163" s="28">
        <f>G1163*0.766839378</f>
        <v>0</v>
      </c>
      <c r="AP1163" s="28">
        <f>G1163*(1-0.766839378)</f>
        <v>0</v>
      </c>
      <c r="AQ1163" s="30" t="s">
        <v>68</v>
      </c>
      <c r="AV1163" s="28">
        <f t="shared" si="108"/>
        <v>0</v>
      </c>
      <c r="AW1163" s="28">
        <f t="shared" si="109"/>
        <v>0</v>
      </c>
      <c r="AX1163" s="28">
        <f t="shared" si="110"/>
        <v>0</v>
      </c>
      <c r="AY1163" s="30" t="s">
        <v>2139</v>
      </c>
      <c r="AZ1163" s="30" t="s">
        <v>2123</v>
      </c>
      <c r="BA1163" s="10" t="s">
        <v>2029</v>
      </c>
      <c r="BC1163" s="28">
        <f t="shared" si="111"/>
        <v>0</v>
      </c>
      <c r="BD1163" s="28">
        <f t="shared" si="112"/>
        <v>0</v>
      </c>
      <c r="BE1163" s="28">
        <v>0</v>
      </c>
      <c r="BF1163" s="28">
        <f>1163</f>
        <v>1163</v>
      </c>
      <c r="BH1163" s="28">
        <f t="shared" si="113"/>
        <v>0</v>
      </c>
      <c r="BI1163" s="28">
        <f t="shared" si="114"/>
        <v>0</v>
      </c>
      <c r="BJ1163" s="28">
        <f t="shared" si="115"/>
        <v>0</v>
      </c>
      <c r="BK1163" s="28"/>
      <c r="BL1163" s="28"/>
      <c r="BW1163" s="28">
        <v>21</v>
      </c>
    </row>
    <row r="1164" spans="1:75" ht="13.5" customHeight="1" x14ac:dyDescent="0.25">
      <c r="A1164" s="2" t="s">
        <v>2149</v>
      </c>
      <c r="B1164" s="3" t="s">
        <v>2150</v>
      </c>
      <c r="C1164" s="83" t="s">
        <v>2151</v>
      </c>
      <c r="D1164" s="80"/>
      <c r="E1164" s="3" t="s">
        <v>172</v>
      </c>
      <c r="F1164" s="28">
        <v>7</v>
      </c>
      <c r="G1164" s="28">
        <v>0</v>
      </c>
      <c r="H1164" s="28">
        <f t="shared" si="94"/>
        <v>0</v>
      </c>
      <c r="I1164" s="28">
        <f t="shared" si="95"/>
        <v>0</v>
      </c>
      <c r="J1164" s="28">
        <f t="shared" si="96"/>
        <v>0</v>
      </c>
      <c r="K1164" s="29" t="s">
        <v>1491</v>
      </c>
      <c r="Z1164" s="28">
        <f t="shared" si="97"/>
        <v>0</v>
      </c>
      <c r="AB1164" s="28">
        <f t="shared" si="98"/>
        <v>0</v>
      </c>
      <c r="AC1164" s="28">
        <f t="shared" si="99"/>
        <v>0</v>
      </c>
      <c r="AD1164" s="28">
        <f t="shared" si="100"/>
        <v>0</v>
      </c>
      <c r="AE1164" s="28">
        <f t="shared" si="101"/>
        <v>0</v>
      </c>
      <c r="AF1164" s="28">
        <f t="shared" si="102"/>
        <v>0</v>
      </c>
      <c r="AG1164" s="28">
        <f t="shared" si="103"/>
        <v>0</v>
      </c>
      <c r="AH1164" s="28">
        <f t="shared" si="104"/>
        <v>0</v>
      </c>
      <c r="AI1164" s="10" t="s">
        <v>2024</v>
      </c>
      <c r="AJ1164" s="28">
        <f t="shared" si="105"/>
        <v>0</v>
      </c>
      <c r="AK1164" s="28">
        <f t="shared" si="106"/>
        <v>0</v>
      </c>
      <c r="AL1164" s="28">
        <f t="shared" si="107"/>
        <v>0</v>
      </c>
      <c r="AN1164" s="28">
        <v>21</v>
      </c>
      <c r="AO1164" s="28">
        <f>G1164*0.973760933</f>
        <v>0</v>
      </c>
      <c r="AP1164" s="28">
        <f>G1164*(1-0.973760933)</f>
        <v>0</v>
      </c>
      <c r="AQ1164" s="30" t="s">
        <v>68</v>
      </c>
      <c r="AV1164" s="28">
        <f t="shared" si="108"/>
        <v>0</v>
      </c>
      <c r="AW1164" s="28">
        <f t="shared" si="109"/>
        <v>0</v>
      </c>
      <c r="AX1164" s="28">
        <f t="shared" si="110"/>
        <v>0</v>
      </c>
      <c r="AY1164" s="30" t="s">
        <v>2139</v>
      </c>
      <c r="AZ1164" s="30" t="s">
        <v>2123</v>
      </c>
      <c r="BA1164" s="10" t="s">
        <v>2029</v>
      </c>
      <c r="BC1164" s="28">
        <f t="shared" si="111"/>
        <v>0</v>
      </c>
      <c r="BD1164" s="28">
        <f t="shared" si="112"/>
        <v>0</v>
      </c>
      <c r="BE1164" s="28">
        <v>0</v>
      </c>
      <c r="BF1164" s="28">
        <f>1164</f>
        <v>1164</v>
      </c>
      <c r="BH1164" s="28">
        <f t="shared" si="113"/>
        <v>0</v>
      </c>
      <c r="BI1164" s="28">
        <f t="shared" si="114"/>
        <v>0</v>
      </c>
      <c r="BJ1164" s="28">
        <f t="shared" si="115"/>
        <v>0</v>
      </c>
      <c r="BK1164" s="28"/>
      <c r="BL1164" s="28"/>
      <c r="BW1164" s="28">
        <v>21</v>
      </c>
    </row>
    <row r="1165" spans="1:75" ht="13.5" customHeight="1" x14ac:dyDescent="0.25">
      <c r="A1165" s="2" t="s">
        <v>2152</v>
      </c>
      <c r="B1165" s="3" t="s">
        <v>2153</v>
      </c>
      <c r="C1165" s="83" t="s">
        <v>2154</v>
      </c>
      <c r="D1165" s="80"/>
      <c r="E1165" s="3" t="s">
        <v>172</v>
      </c>
      <c r="F1165" s="28">
        <v>3</v>
      </c>
      <c r="G1165" s="28">
        <v>0</v>
      </c>
      <c r="H1165" s="28">
        <f t="shared" si="94"/>
        <v>0</v>
      </c>
      <c r="I1165" s="28">
        <f t="shared" si="95"/>
        <v>0</v>
      </c>
      <c r="J1165" s="28">
        <f t="shared" si="96"/>
        <v>0</v>
      </c>
      <c r="K1165" s="29" t="s">
        <v>1491</v>
      </c>
      <c r="Z1165" s="28">
        <f t="shared" si="97"/>
        <v>0</v>
      </c>
      <c r="AB1165" s="28">
        <f t="shared" si="98"/>
        <v>0</v>
      </c>
      <c r="AC1165" s="28">
        <f t="shared" si="99"/>
        <v>0</v>
      </c>
      <c r="AD1165" s="28">
        <f t="shared" si="100"/>
        <v>0</v>
      </c>
      <c r="AE1165" s="28">
        <f t="shared" si="101"/>
        <v>0</v>
      </c>
      <c r="AF1165" s="28">
        <f t="shared" si="102"/>
        <v>0</v>
      </c>
      <c r="AG1165" s="28">
        <f t="shared" si="103"/>
        <v>0</v>
      </c>
      <c r="AH1165" s="28">
        <f t="shared" si="104"/>
        <v>0</v>
      </c>
      <c r="AI1165" s="10" t="s">
        <v>2024</v>
      </c>
      <c r="AJ1165" s="28">
        <f t="shared" si="105"/>
        <v>0</v>
      </c>
      <c r="AK1165" s="28">
        <f t="shared" si="106"/>
        <v>0</v>
      </c>
      <c r="AL1165" s="28">
        <f t="shared" si="107"/>
        <v>0</v>
      </c>
      <c r="AN1165" s="28">
        <v>21</v>
      </c>
      <c r="AO1165" s="28">
        <f>G1165*0.60619469</f>
        <v>0</v>
      </c>
      <c r="AP1165" s="28">
        <f>G1165*(1-0.60619469)</f>
        <v>0</v>
      </c>
      <c r="AQ1165" s="30" t="s">
        <v>68</v>
      </c>
      <c r="AV1165" s="28">
        <f t="shared" si="108"/>
        <v>0</v>
      </c>
      <c r="AW1165" s="28">
        <f t="shared" si="109"/>
        <v>0</v>
      </c>
      <c r="AX1165" s="28">
        <f t="shared" si="110"/>
        <v>0</v>
      </c>
      <c r="AY1165" s="30" t="s">
        <v>2139</v>
      </c>
      <c r="AZ1165" s="30" t="s">
        <v>2123</v>
      </c>
      <c r="BA1165" s="10" t="s">
        <v>2029</v>
      </c>
      <c r="BC1165" s="28">
        <f t="shared" si="111"/>
        <v>0</v>
      </c>
      <c r="BD1165" s="28">
        <f t="shared" si="112"/>
        <v>0</v>
      </c>
      <c r="BE1165" s="28">
        <v>0</v>
      </c>
      <c r="BF1165" s="28">
        <f>1165</f>
        <v>1165</v>
      </c>
      <c r="BH1165" s="28">
        <f t="shared" si="113"/>
        <v>0</v>
      </c>
      <c r="BI1165" s="28">
        <f t="shared" si="114"/>
        <v>0</v>
      </c>
      <c r="BJ1165" s="28">
        <f t="shared" si="115"/>
        <v>0</v>
      </c>
      <c r="BK1165" s="28"/>
      <c r="BL1165" s="28"/>
      <c r="BW1165" s="28">
        <v>21</v>
      </c>
    </row>
    <row r="1166" spans="1:75" ht="13.5" customHeight="1" x14ac:dyDescent="0.25">
      <c r="A1166" s="2" t="s">
        <v>2155</v>
      </c>
      <c r="B1166" s="3" t="s">
        <v>2156</v>
      </c>
      <c r="C1166" s="83" t="s">
        <v>2157</v>
      </c>
      <c r="D1166" s="80"/>
      <c r="E1166" s="3" t="s">
        <v>172</v>
      </c>
      <c r="F1166" s="28">
        <v>38</v>
      </c>
      <c r="G1166" s="28">
        <v>0</v>
      </c>
      <c r="H1166" s="28">
        <f t="shared" si="94"/>
        <v>0</v>
      </c>
      <c r="I1166" s="28">
        <f t="shared" si="95"/>
        <v>0</v>
      </c>
      <c r="J1166" s="28">
        <f t="shared" si="96"/>
        <v>0</v>
      </c>
      <c r="K1166" s="29" t="s">
        <v>1491</v>
      </c>
      <c r="Z1166" s="28">
        <f t="shared" si="97"/>
        <v>0</v>
      </c>
      <c r="AB1166" s="28">
        <f t="shared" si="98"/>
        <v>0</v>
      </c>
      <c r="AC1166" s="28">
        <f t="shared" si="99"/>
        <v>0</v>
      </c>
      <c r="AD1166" s="28">
        <f t="shared" si="100"/>
        <v>0</v>
      </c>
      <c r="AE1166" s="28">
        <f t="shared" si="101"/>
        <v>0</v>
      </c>
      <c r="AF1166" s="28">
        <f t="shared" si="102"/>
        <v>0</v>
      </c>
      <c r="AG1166" s="28">
        <f t="shared" si="103"/>
        <v>0</v>
      </c>
      <c r="AH1166" s="28">
        <f t="shared" si="104"/>
        <v>0</v>
      </c>
      <c r="AI1166" s="10" t="s">
        <v>2024</v>
      </c>
      <c r="AJ1166" s="28">
        <f t="shared" si="105"/>
        <v>0</v>
      </c>
      <c r="AK1166" s="28">
        <f t="shared" si="106"/>
        <v>0</v>
      </c>
      <c r="AL1166" s="28">
        <f t="shared" si="107"/>
        <v>0</v>
      </c>
      <c r="AN1166" s="28">
        <v>21</v>
      </c>
      <c r="AO1166" s="28">
        <f>G1166*1</f>
        <v>0</v>
      </c>
      <c r="AP1166" s="28">
        <f>G1166*(1-1)</f>
        <v>0</v>
      </c>
      <c r="AQ1166" s="30" t="s">
        <v>68</v>
      </c>
      <c r="AV1166" s="28">
        <f t="shared" si="108"/>
        <v>0</v>
      </c>
      <c r="AW1166" s="28">
        <f t="shared" si="109"/>
        <v>0</v>
      </c>
      <c r="AX1166" s="28">
        <f t="shared" si="110"/>
        <v>0</v>
      </c>
      <c r="AY1166" s="30" t="s">
        <v>2139</v>
      </c>
      <c r="AZ1166" s="30" t="s">
        <v>2123</v>
      </c>
      <c r="BA1166" s="10" t="s">
        <v>2029</v>
      </c>
      <c r="BC1166" s="28">
        <f t="shared" si="111"/>
        <v>0</v>
      </c>
      <c r="BD1166" s="28">
        <f t="shared" si="112"/>
        <v>0</v>
      </c>
      <c r="BE1166" s="28">
        <v>0</v>
      </c>
      <c r="BF1166" s="28">
        <f>1166</f>
        <v>1166</v>
      </c>
      <c r="BH1166" s="28">
        <f t="shared" si="113"/>
        <v>0</v>
      </c>
      <c r="BI1166" s="28">
        <f t="shared" si="114"/>
        <v>0</v>
      </c>
      <c r="BJ1166" s="28">
        <f t="shared" si="115"/>
        <v>0</v>
      </c>
      <c r="BK1166" s="28"/>
      <c r="BL1166" s="28"/>
      <c r="BW1166" s="28">
        <v>21</v>
      </c>
    </row>
    <row r="1167" spans="1:75" ht="13.5" customHeight="1" x14ac:dyDescent="0.25">
      <c r="A1167" s="2" t="s">
        <v>2158</v>
      </c>
      <c r="B1167" s="3" t="s">
        <v>2159</v>
      </c>
      <c r="C1167" s="83" t="s">
        <v>2160</v>
      </c>
      <c r="D1167" s="80"/>
      <c r="E1167" s="3" t="s">
        <v>167</v>
      </c>
      <c r="F1167" s="28">
        <v>1</v>
      </c>
      <c r="G1167" s="28">
        <v>0</v>
      </c>
      <c r="H1167" s="28">
        <f t="shared" si="94"/>
        <v>0</v>
      </c>
      <c r="I1167" s="28">
        <f t="shared" si="95"/>
        <v>0</v>
      </c>
      <c r="J1167" s="28">
        <f t="shared" si="96"/>
        <v>0</v>
      </c>
      <c r="K1167" s="29" t="s">
        <v>1491</v>
      </c>
      <c r="Z1167" s="28">
        <f t="shared" si="97"/>
        <v>0</v>
      </c>
      <c r="AB1167" s="28">
        <f t="shared" si="98"/>
        <v>0</v>
      </c>
      <c r="AC1167" s="28">
        <f t="shared" si="99"/>
        <v>0</v>
      </c>
      <c r="AD1167" s="28">
        <f t="shared" si="100"/>
        <v>0</v>
      </c>
      <c r="AE1167" s="28">
        <f t="shared" si="101"/>
        <v>0</v>
      </c>
      <c r="AF1167" s="28">
        <f t="shared" si="102"/>
        <v>0</v>
      </c>
      <c r="AG1167" s="28">
        <f t="shared" si="103"/>
        <v>0</v>
      </c>
      <c r="AH1167" s="28">
        <f t="shared" si="104"/>
        <v>0</v>
      </c>
      <c r="AI1167" s="10" t="s">
        <v>2024</v>
      </c>
      <c r="AJ1167" s="28">
        <f t="shared" si="105"/>
        <v>0</v>
      </c>
      <c r="AK1167" s="28">
        <f t="shared" si="106"/>
        <v>0</v>
      </c>
      <c r="AL1167" s="28">
        <f t="shared" si="107"/>
        <v>0</v>
      </c>
      <c r="AN1167" s="28">
        <v>21</v>
      </c>
      <c r="AO1167" s="28">
        <f>G1167*0.131578947</f>
        <v>0</v>
      </c>
      <c r="AP1167" s="28">
        <f>G1167*(1-0.131578947)</f>
        <v>0</v>
      </c>
      <c r="AQ1167" s="30" t="s">
        <v>68</v>
      </c>
      <c r="AV1167" s="28">
        <f t="shared" si="108"/>
        <v>0</v>
      </c>
      <c r="AW1167" s="28">
        <f t="shared" si="109"/>
        <v>0</v>
      </c>
      <c r="AX1167" s="28">
        <f t="shared" si="110"/>
        <v>0</v>
      </c>
      <c r="AY1167" s="30" t="s">
        <v>2139</v>
      </c>
      <c r="AZ1167" s="30" t="s">
        <v>2123</v>
      </c>
      <c r="BA1167" s="10" t="s">
        <v>2029</v>
      </c>
      <c r="BC1167" s="28">
        <f t="shared" si="111"/>
        <v>0</v>
      </c>
      <c r="BD1167" s="28">
        <f t="shared" si="112"/>
        <v>0</v>
      </c>
      <c r="BE1167" s="28">
        <v>0</v>
      </c>
      <c r="BF1167" s="28">
        <f>1167</f>
        <v>1167</v>
      </c>
      <c r="BH1167" s="28">
        <f t="shared" si="113"/>
        <v>0</v>
      </c>
      <c r="BI1167" s="28">
        <f t="shared" si="114"/>
        <v>0</v>
      </c>
      <c r="BJ1167" s="28">
        <f t="shared" si="115"/>
        <v>0</v>
      </c>
      <c r="BK1167" s="28"/>
      <c r="BL1167" s="28"/>
      <c r="BW1167" s="28">
        <v>21</v>
      </c>
    </row>
    <row r="1168" spans="1:75" x14ac:dyDescent="0.25">
      <c r="A1168" s="24" t="s">
        <v>52</v>
      </c>
      <c r="B1168" s="25" t="s">
        <v>2161</v>
      </c>
      <c r="C1168" s="139" t="s">
        <v>2162</v>
      </c>
      <c r="D1168" s="140"/>
      <c r="E1168" s="26" t="s">
        <v>4</v>
      </c>
      <c r="F1168" s="26" t="s">
        <v>4</v>
      </c>
      <c r="G1168" s="26" t="s">
        <v>4</v>
      </c>
      <c r="H1168" s="1">
        <f>SUM(H1169:H1171)</f>
        <v>0</v>
      </c>
      <c r="I1168" s="1">
        <f>SUM(I1169:I1171)</f>
        <v>0</v>
      </c>
      <c r="J1168" s="1">
        <f>SUM(J1169:J1171)</f>
        <v>0</v>
      </c>
      <c r="K1168" s="27" t="s">
        <v>52</v>
      </c>
      <c r="AI1168" s="10" t="s">
        <v>2024</v>
      </c>
      <c r="AS1168" s="1">
        <f>SUM(AJ1169:AJ1171)</f>
        <v>0</v>
      </c>
      <c r="AT1168" s="1">
        <f>SUM(AK1169:AK1171)</f>
        <v>0</v>
      </c>
      <c r="AU1168" s="1">
        <f>SUM(AL1169:AL1171)</f>
        <v>0</v>
      </c>
    </row>
    <row r="1169" spans="1:75" ht="13.5" customHeight="1" x14ac:dyDescent="0.25">
      <c r="A1169" s="2" t="s">
        <v>2163</v>
      </c>
      <c r="B1169" s="3" t="s">
        <v>2102</v>
      </c>
      <c r="C1169" s="83" t="s">
        <v>2164</v>
      </c>
      <c r="D1169" s="80"/>
      <c r="E1169" s="3" t="s">
        <v>531</v>
      </c>
      <c r="F1169" s="28">
        <v>3</v>
      </c>
      <c r="G1169" s="28">
        <v>0</v>
      </c>
      <c r="H1169" s="28">
        <f>F1169*AO1169</f>
        <v>0</v>
      </c>
      <c r="I1169" s="28">
        <f>F1169*AP1169</f>
        <v>0</v>
      </c>
      <c r="J1169" s="28">
        <f>F1169*G1169</f>
        <v>0</v>
      </c>
      <c r="K1169" s="29" t="s">
        <v>1491</v>
      </c>
      <c r="Z1169" s="28">
        <f>IF(AQ1169="5",BJ1169,0)</f>
        <v>0</v>
      </c>
      <c r="AB1169" s="28">
        <f>IF(AQ1169="1",BH1169,0)</f>
        <v>0</v>
      </c>
      <c r="AC1169" s="28">
        <f>IF(AQ1169="1",BI1169,0)</f>
        <v>0</v>
      </c>
      <c r="AD1169" s="28">
        <f>IF(AQ1169="7",BH1169,0)</f>
        <v>0</v>
      </c>
      <c r="AE1169" s="28">
        <f>IF(AQ1169="7",BI1169,0)</f>
        <v>0</v>
      </c>
      <c r="AF1169" s="28">
        <f>IF(AQ1169="2",BH1169,0)</f>
        <v>0</v>
      </c>
      <c r="AG1169" s="28">
        <f>IF(AQ1169="2",BI1169,0)</f>
        <v>0</v>
      </c>
      <c r="AH1169" s="28">
        <f>IF(AQ1169="0",BJ1169,0)</f>
        <v>0</v>
      </c>
      <c r="AI1169" s="10" t="s">
        <v>2024</v>
      </c>
      <c r="AJ1169" s="28">
        <f>IF(AN1169=0,J1169,0)</f>
        <v>0</v>
      </c>
      <c r="AK1169" s="28">
        <f>IF(AN1169=12,J1169,0)</f>
        <v>0</v>
      </c>
      <c r="AL1169" s="28">
        <f>IF(AN1169=21,J1169,0)</f>
        <v>0</v>
      </c>
      <c r="AN1169" s="28">
        <v>21</v>
      </c>
      <c r="AO1169" s="28">
        <f>G1169*0</f>
        <v>0</v>
      </c>
      <c r="AP1169" s="28">
        <f>G1169*(1-0)</f>
        <v>0</v>
      </c>
      <c r="AQ1169" s="30" t="s">
        <v>68</v>
      </c>
      <c r="AV1169" s="28">
        <f>AW1169+AX1169</f>
        <v>0</v>
      </c>
      <c r="AW1169" s="28">
        <f>F1169*AO1169</f>
        <v>0</v>
      </c>
      <c r="AX1169" s="28">
        <f>F1169*AP1169</f>
        <v>0</v>
      </c>
      <c r="AY1169" s="30" t="s">
        <v>2165</v>
      </c>
      <c r="AZ1169" s="30" t="s">
        <v>2123</v>
      </c>
      <c r="BA1169" s="10" t="s">
        <v>2029</v>
      </c>
      <c r="BC1169" s="28">
        <f>AW1169+AX1169</f>
        <v>0</v>
      </c>
      <c r="BD1169" s="28">
        <f>G1169/(100-BE1169)*100</f>
        <v>0</v>
      </c>
      <c r="BE1169" s="28">
        <v>0</v>
      </c>
      <c r="BF1169" s="28">
        <f>1169</f>
        <v>1169</v>
      </c>
      <c r="BH1169" s="28">
        <f>F1169*AO1169</f>
        <v>0</v>
      </c>
      <c r="BI1169" s="28">
        <f>F1169*AP1169</f>
        <v>0</v>
      </c>
      <c r="BJ1169" s="28">
        <f>F1169*G1169</f>
        <v>0</v>
      </c>
      <c r="BK1169" s="28"/>
      <c r="BL1169" s="28"/>
      <c r="BW1169" s="28">
        <v>21</v>
      </c>
    </row>
    <row r="1170" spans="1:75" ht="13.5" customHeight="1" x14ac:dyDescent="0.25">
      <c r="A1170" s="2" t="s">
        <v>2166</v>
      </c>
      <c r="B1170" s="3" t="s">
        <v>2102</v>
      </c>
      <c r="C1170" s="83" t="s">
        <v>2167</v>
      </c>
      <c r="D1170" s="80"/>
      <c r="E1170" s="3" t="s">
        <v>531</v>
      </c>
      <c r="F1170" s="28">
        <v>8</v>
      </c>
      <c r="G1170" s="28">
        <v>0</v>
      </c>
      <c r="H1170" s="28">
        <f>F1170*AO1170</f>
        <v>0</v>
      </c>
      <c r="I1170" s="28">
        <f>F1170*AP1170</f>
        <v>0</v>
      </c>
      <c r="J1170" s="28">
        <f>F1170*G1170</f>
        <v>0</v>
      </c>
      <c r="K1170" s="29" t="s">
        <v>1491</v>
      </c>
      <c r="Z1170" s="28">
        <f>IF(AQ1170="5",BJ1170,0)</f>
        <v>0</v>
      </c>
      <c r="AB1170" s="28">
        <f>IF(AQ1170="1",BH1170,0)</f>
        <v>0</v>
      </c>
      <c r="AC1170" s="28">
        <f>IF(AQ1170="1",BI1170,0)</f>
        <v>0</v>
      </c>
      <c r="AD1170" s="28">
        <f>IF(AQ1170="7",BH1170,0)</f>
        <v>0</v>
      </c>
      <c r="AE1170" s="28">
        <f>IF(AQ1170="7",BI1170,0)</f>
        <v>0</v>
      </c>
      <c r="AF1170" s="28">
        <f>IF(AQ1170="2",BH1170,0)</f>
        <v>0</v>
      </c>
      <c r="AG1170" s="28">
        <f>IF(AQ1170="2",BI1170,0)</f>
        <v>0</v>
      </c>
      <c r="AH1170" s="28">
        <f>IF(AQ1170="0",BJ1170,0)</f>
        <v>0</v>
      </c>
      <c r="AI1170" s="10" t="s">
        <v>2024</v>
      </c>
      <c r="AJ1170" s="28">
        <f>IF(AN1170=0,J1170,0)</f>
        <v>0</v>
      </c>
      <c r="AK1170" s="28">
        <f>IF(AN1170=12,J1170,0)</f>
        <v>0</v>
      </c>
      <c r="AL1170" s="28">
        <f>IF(AN1170=21,J1170,0)</f>
        <v>0</v>
      </c>
      <c r="AN1170" s="28">
        <v>21</v>
      </c>
      <c r="AO1170" s="28">
        <f>G1170*0</f>
        <v>0</v>
      </c>
      <c r="AP1170" s="28">
        <f>G1170*(1-0)</f>
        <v>0</v>
      </c>
      <c r="AQ1170" s="30" t="s">
        <v>68</v>
      </c>
      <c r="AV1170" s="28">
        <f>AW1170+AX1170</f>
        <v>0</v>
      </c>
      <c r="AW1170" s="28">
        <f>F1170*AO1170</f>
        <v>0</v>
      </c>
      <c r="AX1170" s="28">
        <f>F1170*AP1170</f>
        <v>0</v>
      </c>
      <c r="AY1170" s="30" t="s">
        <v>2165</v>
      </c>
      <c r="AZ1170" s="30" t="s">
        <v>2123</v>
      </c>
      <c r="BA1170" s="10" t="s">
        <v>2029</v>
      </c>
      <c r="BC1170" s="28">
        <f>AW1170+AX1170</f>
        <v>0</v>
      </c>
      <c r="BD1170" s="28">
        <f>G1170/(100-BE1170)*100</f>
        <v>0</v>
      </c>
      <c r="BE1170" s="28">
        <v>0</v>
      </c>
      <c r="BF1170" s="28">
        <f>1170</f>
        <v>1170</v>
      </c>
      <c r="BH1170" s="28">
        <f>F1170*AO1170</f>
        <v>0</v>
      </c>
      <c r="BI1170" s="28">
        <f>F1170*AP1170</f>
        <v>0</v>
      </c>
      <c r="BJ1170" s="28">
        <f>F1170*G1170</f>
        <v>0</v>
      </c>
      <c r="BK1170" s="28"/>
      <c r="BL1170" s="28"/>
      <c r="BW1170" s="28">
        <v>21</v>
      </c>
    </row>
    <row r="1171" spans="1:75" ht="13.5" customHeight="1" x14ac:dyDescent="0.25">
      <c r="A1171" s="2" t="s">
        <v>2168</v>
      </c>
      <c r="B1171" s="3" t="s">
        <v>2102</v>
      </c>
      <c r="C1171" s="83" t="s">
        <v>2169</v>
      </c>
      <c r="D1171" s="80"/>
      <c r="E1171" s="3" t="s">
        <v>531</v>
      </c>
      <c r="F1171" s="28">
        <v>6</v>
      </c>
      <c r="G1171" s="28">
        <v>0</v>
      </c>
      <c r="H1171" s="28">
        <f>F1171*AO1171</f>
        <v>0</v>
      </c>
      <c r="I1171" s="28">
        <f>F1171*AP1171</f>
        <v>0</v>
      </c>
      <c r="J1171" s="28">
        <f>F1171*G1171</f>
        <v>0</v>
      </c>
      <c r="K1171" s="29" t="s">
        <v>1491</v>
      </c>
      <c r="Z1171" s="28">
        <f>IF(AQ1171="5",BJ1171,0)</f>
        <v>0</v>
      </c>
      <c r="AB1171" s="28">
        <f>IF(AQ1171="1",BH1171,0)</f>
        <v>0</v>
      </c>
      <c r="AC1171" s="28">
        <f>IF(AQ1171="1",BI1171,0)</f>
        <v>0</v>
      </c>
      <c r="AD1171" s="28">
        <f>IF(AQ1171="7",BH1171,0)</f>
        <v>0</v>
      </c>
      <c r="AE1171" s="28">
        <f>IF(AQ1171="7",BI1171,0)</f>
        <v>0</v>
      </c>
      <c r="AF1171" s="28">
        <f>IF(AQ1171="2",BH1171,0)</f>
        <v>0</v>
      </c>
      <c r="AG1171" s="28">
        <f>IF(AQ1171="2",BI1171,0)</f>
        <v>0</v>
      </c>
      <c r="AH1171" s="28">
        <f>IF(AQ1171="0",BJ1171,0)</f>
        <v>0</v>
      </c>
      <c r="AI1171" s="10" t="s">
        <v>2024</v>
      </c>
      <c r="AJ1171" s="28">
        <f>IF(AN1171=0,J1171,0)</f>
        <v>0</v>
      </c>
      <c r="AK1171" s="28">
        <f>IF(AN1171=12,J1171,0)</f>
        <v>0</v>
      </c>
      <c r="AL1171" s="28">
        <f>IF(AN1171=21,J1171,0)</f>
        <v>0</v>
      </c>
      <c r="AN1171" s="28">
        <v>21</v>
      </c>
      <c r="AO1171" s="28">
        <f>G1171*0.571428571</f>
        <v>0</v>
      </c>
      <c r="AP1171" s="28">
        <f>G1171*(1-0.571428571)</f>
        <v>0</v>
      </c>
      <c r="AQ1171" s="30" t="s">
        <v>68</v>
      </c>
      <c r="AV1171" s="28">
        <f>AW1171+AX1171</f>
        <v>0</v>
      </c>
      <c r="AW1171" s="28">
        <f>F1171*AO1171</f>
        <v>0</v>
      </c>
      <c r="AX1171" s="28">
        <f>F1171*AP1171</f>
        <v>0</v>
      </c>
      <c r="AY1171" s="30" t="s">
        <v>2165</v>
      </c>
      <c r="AZ1171" s="30" t="s">
        <v>2123</v>
      </c>
      <c r="BA1171" s="10" t="s">
        <v>2029</v>
      </c>
      <c r="BC1171" s="28">
        <f>AW1171+AX1171</f>
        <v>0</v>
      </c>
      <c r="BD1171" s="28">
        <f>G1171/(100-BE1171)*100</f>
        <v>0</v>
      </c>
      <c r="BE1171" s="28">
        <v>0</v>
      </c>
      <c r="BF1171" s="28">
        <f>1171</f>
        <v>1171</v>
      </c>
      <c r="BH1171" s="28">
        <f>F1171*AO1171</f>
        <v>0</v>
      </c>
      <c r="BI1171" s="28">
        <f>F1171*AP1171</f>
        <v>0</v>
      </c>
      <c r="BJ1171" s="28">
        <f>F1171*G1171</f>
        <v>0</v>
      </c>
      <c r="BK1171" s="28"/>
      <c r="BL1171" s="28"/>
      <c r="BW1171" s="28">
        <v>21</v>
      </c>
    </row>
    <row r="1172" spans="1:75" x14ac:dyDescent="0.25">
      <c r="A1172" s="24" t="s">
        <v>52</v>
      </c>
      <c r="B1172" s="25" t="s">
        <v>2170</v>
      </c>
      <c r="C1172" s="139" t="s">
        <v>2171</v>
      </c>
      <c r="D1172" s="140"/>
      <c r="E1172" s="26" t="s">
        <v>4</v>
      </c>
      <c r="F1172" s="26" t="s">
        <v>4</v>
      </c>
      <c r="G1172" s="26" t="s">
        <v>4</v>
      </c>
      <c r="H1172" s="1">
        <f>SUM(H1173:H1178)</f>
        <v>0</v>
      </c>
      <c r="I1172" s="1">
        <f>SUM(I1173:I1178)</f>
        <v>0</v>
      </c>
      <c r="J1172" s="1">
        <f>SUM(J1173:J1178)</f>
        <v>0</v>
      </c>
      <c r="K1172" s="27" t="s">
        <v>52</v>
      </c>
      <c r="AI1172" s="10" t="s">
        <v>2024</v>
      </c>
      <c r="AS1172" s="1">
        <f>SUM(AJ1173:AJ1178)</f>
        <v>0</v>
      </c>
      <c r="AT1172" s="1">
        <f>SUM(AK1173:AK1178)</f>
        <v>0</v>
      </c>
      <c r="AU1172" s="1">
        <f>SUM(AL1173:AL1178)</f>
        <v>0</v>
      </c>
    </row>
    <row r="1173" spans="1:75" ht="13.5" customHeight="1" x14ac:dyDescent="0.25">
      <c r="A1173" s="2" t="s">
        <v>2172</v>
      </c>
      <c r="B1173" s="3" t="s">
        <v>2173</v>
      </c>
      <c r="C1173" s="83" t="s">
        <v>2174</v>
      </c>
      <c r="D1173" s="80"/>
      <c r="E1173" s="3" t="s">
        <v>137</v>
      </c>
      <c r="F1173" s="28">
        <v>20</v>
      </c>
      <c r="G1173" s="28">
        <v>0</v>
      </c>
      <c r="H1173" s="28">
        <f>F1173*AO1173</f>
        <v>0</v>
      </c>
      <c r="I1173" s="28">
        <f>F1173*AP1173</f>
        <v>0</v>
      </c>
      <c r="J1173" s="28">
        <f>F1173*G1173</f>
        <v>0</v>
      </c>
      <c r="K1173" s="29" t="s">
        <v>61</v>
      </c>
      <c r="Z1173" s="28">
        <f>IF(AQ1173="5",BJ1173,0)</f>
        <v>0</v>
      </c>
      <c r="AB1173" s="28">
        <f>IF(AQ1173="1",BH1173,0)</f>
        <v>0</v>
      </c>
      <c r="AC1173" s="28">
        <f>IF(AQ1173="1",BI1173,0)</f>
        <v>0</v>
      </c>
      <c r="AD1173" s="28">
        <f>IF(AQ1173="7",BH1173,0)</f>
        <v>0</v>
      </c>
      <c r="AE1173" s="28">
        <f>IF(AQ1173="7",BI1173,0)</f>
        <v>0</v>
      </c>
      <c r="AF1173" s="28">
        <f>IF(AQ1173="2",BH1173,0)</f>
        <v>0</v>
      </c>
      <c r="AG1173" s="28">
        <f>IF(AQ1173="2",BI1173,0)</f>
        <v>0</v>
      </c>
      <c r="AH1173" s="28">
        <f>IF(AQ1173="0",BJ1173,0)</f>
        <v>0</v>
      </c>
      <c r="AI1173" s="10" t="s">
        <v>2024</v>
      </c>
      <c r="AJ1173" s="28">
        <f>IF(AN1173=0,J1173,0)</f>
        <v>0</v>
      </c>
      <c r="AK1173" s="28">
        <f>IF(AN1173=12,J1173,0)</f>
        <v>0</v>
      </c>
      <c r="AL1173" s="28">
        <f>IF(AN1173=21,J1173,0)</f>
        <v>0</v>
      </c>
      <c r="AN1173" s="28">
        <v>21</v>
      </c>
      <c r="AO1173" s="28">
        <f>G1173*0</f>
        <v>0</v>
      </c>
      <c r="AP1173" s="28">
        <f>G1173*(1-0)</f>
        <v>0</v>
      </c>
      <c r="AQ1173" s="30" t="s">
        <v>68</v>
      </c>
      <c r="AV1173" s="28">
        <f>AW1173+AX1173</f>
        <v>0</v>
      </c>
      <c r="AW1173" s="28">
        <f>F1173*AO1173</f>
        <v>0</v>
      </c>
      <c r="AX1173" s="28">
        <f>F1173*AP1173</f>
        <v>0</v>
      </c>
      <c r="AY1173" s="30" t="s">
        <v>2175</v>
      </c>
      <c r="AZ1173" s="30" t="s">
        <v>2123</v>
      </c>
      <c r="BA1173" s="10" t="s">
        <v>2029</v>
      </c>
      <c r="BC1173" s="28">
        <f>AW1173+AX1173</f>
        <v>0</v>
      </c>
      <c r="BD1173" s="28">
        <f>G1173/(100-BE1173)*100</f>
        <v>0</v>
      </c>
      <c r="BE1173" s="28">
        <v>0</v>
      </c>
      <c r="BF1173" s="28">
        <f>1173</f>
        <v>1173</v>
      </c>
      <c r="BH1173" s="28">
        <f>F1173*AO1173</f>
        <v>0</v>
      </c>
      <c r="BI1173" s="28">
        <f>F1173*AP1173</f>
        <v>0</v>
      </c>
      <c r="BJ1173" s="28">
        <f>F1173*G1173</f>
        <v>0</v>
      </c>
      <c r="BK1173" s="28"/>
      <c r="BL1173" s="28"/>
      <c r="BW1173" s="28">
        <v>21</v>
      </c>
    </row>
    <row r="1174" spans="1:75" x14ac:dyDescent="0.25">
      <c r="A1174" s="31"/>
      <c r="C1174" s="32" t="s">
        <v>169</v>
      </c>
      <c r="D1174" s="32" t="s">
        <v>52</v>
      </c>
      <c r="F1174" s="33">
        <v>20</v>
      </c>
      <c r="K1174" s="34"/>
    </row>
    <row r="1175" spans="1:75" ht="13.5" customHeight="1" x14ac:dyDescent="0.25">
      <c r="A1175" s="2" t="s">
        <v>2176</v>
      </c>
      <c r="B1175" s="3" t="s">
        <v>2177</v>
      </c>
      <c r="C1175" s="83" t="s">
        <v>2178</v>
      </c>
      <c r="D1175" s="80"/>
      <c r="E1175" s="3" t="s">
        <v>137</v>
      </c>
      <c r="F1175" s="28">
        <v>1</v>
      </c>
      <c r="G1175" s="28">
        <v>0</v>
      </c>
      <c r="H1175" s="28">
        <f>F1175*AO1175</f>
        <v>0</v>
      </c>
      <c r="I1175" s="28">
        <f>F1175*AP1175</f>
        <v>0</v>
      </c>
      <c r="J1175" s="28">
        <f>F1175*G1175</f>
        <v>0</v>
      </c>
      <c r="K1175" s="29" t="s">
        <v>61</v>
      </c>
      <c r="Z1175" s="28">
        <f>IF(AQ1175="5",BJ1175,0)</f>
        <v>0</v>
      </c>
      <c r="AB1175" s="28">
        <f>IF(AQ1175="1",BH1175,0)</f>
        <v>0</v>
      </c>
      <c r="AC1175" s="28">
        <f>IF(AQ1175="1",BI1175,0)</f>
        <v>0</v>
      </c>
      <c r="AD1175" s="28">
        <f>IF(AQ1175="7",BH1175,0)</f>
        <v>0</v>
      </c>
      <c r="AE1175" s="28">
        <f>IF(AQ1175="7",BI1175,0)</f>
        <v>0</v>
      </c>
      <c r="AF1175" s="28">
        <f>IF(AQ1175="2",BH1175,0)</f>
        <v>0</v>
      </c>
      <c r="AG1175" s="28">
        <f>IF(AQ1175="2",BI1175,0)</f>
        <v>0</v>
      </c>
      <c r="AH1175" s="28">
        <f>IF(AQ1175="0",BJ1175,0)</f>
        <v>0</v>
      </c>
      <c r="AI1175" s="10" t="s">
        <v>2024</v>
      </c>
      <c r="AJ1175" s="28">
        <f>IF(AN1175=0,J1175,0)</f>
        <v>0</v>
      </c>
      <c r="AK1175" s="28">
        <f>IF(AN1175=12,J1175,0)</f>
        <v>0</v>
      </c>
      <c r="AL1175" s="28">
        <f>IF(AN1175=21,J1175,0)</f>
        <v>0</v>
      </c>
      <c r="AN1175" s="28">
        <v>21</v>
      </c>
      <c r="AO1175" s="28">
        <f>G1175*0</f>
        <v>0</v>
      </c>
      <c r="AP1175" s="28">
        <f>G1175*(1-0)</f>
        <v>0</v>
      </c>
      <c r="AQ1175" s="30" t="s">
        <v>68</v>
      </c>
      <c r="AV1175" s="28">
        <f>AW1175+AX1175</f>
        <v>0</v>
      </c>
      <c r="AW1175" s="28">
        <f>F1175*AO1175</f>
        <v>0</v>
      </c>
      <c r="AX1175" s="28">
        <f>F1175*AP1175</f>
        <v>0</v>
      </c>
      <c r="AY1175" s="30" t="s">
        <v>2175</v>
      </c>
      <c r="AZ1175" s="30" t="s">
        <v>2123</v>
      </c>
      <c r="BA1175" s="10" t="s">
        <v>2029</v>
      </c>
      <c r="BC1175" s="28">
        <f>AW1175+AX1175</f>
        <v>0</v>
      </c>
      <c r="BD1175" s="28">
        <f>G1175/(100-BE1175)*100</f>
        <v>0</v>
      </c>
      <c r="BE1175" s="28">
        <v>0</v>
      </c>
      <c r="BF1175" s="28">
        <f>1175</f>
        <v>1175</v>
      </c>
      <c r="BH1175" s="28">
        <f>F1175*AO1175</f>
        <v>0</v>
      </c>
      <c r="BI1175" s="28">
        <f>F1175*AP1175</f>
        <v>0</v>
      </c>
      <c r="BJ1175" s="28">
        <f>F1175*G1175</f>
        <v>0</v>
      </c>
      <c r="BK1175" s="28"/>
      <c r="BL1175" s="28"/>
      <c r="BW1175" s="28">
        <v>21</v>
      </c>
    </row>
    <row r="1176" spans="1:75" ht="13.5" customHeight="1" x14ac:dyDescent="0.25">
      <c r="A1176" s="2" t="s">
        <v>2179</v>
      </c>
      <c r="B1176" s="3" t="s">
        <v>2180</v>
      </c>
      <c r="C1176" s="83" t="s">
        <v>2181</v>
      </c>
      <c r="D1176" s="80"/>
      <c r="E1176" s="3" t="s">
        <v>137</v>
      </c>
      <c r="F1176" s="28">
        <v>19</v>
      </c>
      <c r="G1176" s="28">
        <v>0</v>
      </c>
      <c r="H1176" s="28">
        <f>F1176*AO1176</f>
        <v>0</v>
      </c>
      <c r="I1176" s="28">
        <f>F1176*AP1176</f>
        <v>0</v>
      </c>
      <c r="J1176" s="28">
        <f>F1176*G1176</f>
        <v>0</v>
      </c>
      <c r="K1176" s="29" t="s">
        <v>61</v>
      </c>
      <c r="Z1176" s="28">
        <f>IF(AQ1176="5",BJ1176,0)</f>
        <v>0</v>
      </c>
      <c r="AB1176" s="28">
        <f>IF(AQ1176="1",BH1176,0)</f>
        <v>0</v>
      </c>
      <c r="AC1176" s="28">
        <f>IF(AQ1176="1",BI1176,0)</f>
        <v>0</v>
      </c>
      <c r="AD1176" s="28">
        <f>IF(AQ1176="7",BH1176,0)</f>
        <v>0</v>
      </c>
      <c r="AE1176" s="28">
        <f>IF(AQ1176="7",BI1176,0)</f>
        <v>0</v>
      </c>
      <c r="AF1176" s="28">
        <f>IF(AQ1176="2",BH1176,0)</f>
        <v>0</v>
      </c>
      <c r="AG1176" s="28">
        <f>IF(AQ1176="2",BI1176,0)</f>
        <v>0</v>
      </c>
      <c r="AH1176" s="28">
        <f>IF(AQ1176="0",BJ1176,0)</f>
        <v>0</v>
      </c>
      <c r="AI1176" s="10" t="s">
        <v>2024</v>
      </c>
      <c r="AJ1176" s="28">
        <f>IF(AN1176=0,J1176,0)</f>
        <v>0</v>
      </c>
      <c r="AK1176" s="28">
        <f>IF(AN1176=12,J1176,0)</f>
        <v>0</v>
      </c>
      <c r="AL1176" s="28">
        <f>IF(AN1176=21,J1176,0)</f>
        <v>0</v>
      </c>
      <c r="AN1176" s="28">
        <v>21</v>
      </c>
      <c r="AO1176" s="28">
        <f>G1176*0</f>
        <v>0</v>
      </c>
      <c r="AP1176" s="28">
        <f>G1176*(1-0)</f>
        <v>0</v>
      </c>
      <c r="AQ1176" s="30" t="s">
        <v>68</v>
      </c>
      <c r="AV1176" s="28">
        <f>AW1176+AX1176</f>
        <v>0</v>
      </c>
      <c r="AW1176" s="28">
        <f>F1176*AO1176</f>
        <v>0</v>
      </c>
      <c r="AX1176" s="28">
        <f>F1176*AP1176</f>
        <v>0</v>
      </c>
      <c r="AY1176" s="30" t="s">
        <v>2175</v>
      </c>
      <c r="AZ1176" s="30" t="s">
        <v>2123</v>
      </c>
      <c r="BA1176" s="10" t="s">
        <v>2029</v>
      </c>
      <c r="BC1176" s="28">
        <f>AW1176+AX1176</f>
        <v>0</v>
      </c>
      <c r="BD1176" s="28">
        <f>G1176/(100-BE1176)*100</f>
        <v>0</v>
      </c>
      <c r="BE1176" s="28">
        <v>0</v>
      </c>
      <c r="BF1176" s="28">
        <f>1176</f>
        <v>1176</v>
      </c>
      <c r="BH1176" s="28">
        <f>F1176*AO1176</f>
        <v>0</v>
      </c>
      <c r="BI1176" s="28">
        <f>F1176*AP1176</f>
        <v>0</v>
      </c>
      <c r="BJ1176" s="28">
        <f>F1176*G1176</f>
        <v>0</v>
      </c>
      <c r="BK1176" s="28"/>
      <c r="BL1176" s="28"/>
      <c r="BW1176" s="28">
        <v>21</v>
      </c>
    </row>
    <row r="1177" spans="1:75" ht="13.5" customHeight="1" x14ac:dyDescent="0.25">
      <c r="A1177" s="2" t="s">
        <v>2182</v>
      </c>
      <c r="B1177" s="3" t="s">
        <v>2183</v>
      </c>
      <c r="C1177" s="83" t="s">
        <v>2184</v>
      </c>
      <c r="D1177" s="80"/>
      <c r="E1177" s="3" t="s">
        <v>137</v>
      </c>
      <c r="F1177" s="28">
        <v>4</v>
      </c>
      <c r="G1177" s="28">
        <v>0</v>
      </c>
      <c r="H1177" s="28">
        <f>F1177*AO1177</f>
        <v>0</v>
      </c>
      <c r="I1177" s="28">
        <f>F1177*AP1177</f>
        <v>0</v>
      </c>
      <c r="J1177" s="28">
        <f>F1177*G1177</f>
        <v>0</v>
      </c>
      <c r="K1177" s="29" t="s">
        <v>61</v>
      </c>
      <c r="Z1177" s="28">
        <f>IF(AQ1177="5",BJ1177,0)</f>
        <v>0</v>
      </c>
      <c r="AB1177" s="28">
        <f>IF(AQ1177="1",BH1177,0)</f>
        <v>0</v>
      </c>
      <c r="AC1177" s="28">
        <f>IF(AQ1177="1",BI1177,0)</f>
        <v>0</v>
      </c>
      <c r="AD1177" s="28">
        <f>IF(AQ1177="7",BH1177,0)</f>
        <v>0</v>
      </c>
      <c r="AE1177" s="28">
        <f>IF(AQ1177="7",BI1177,0)</f>
        <v>0</v>
      </c>
      <c r="AF1177" s="28">
        <f>IF(AQ1177="2",BH1177,0)</f>
        <v>0</v>
      </c>
      <c r="AG1177" s="28">
        <f>IF(AQ1177="2",BI1177,0)</f>
        <v>0</v>
      </c>
      <c r="AH1177" s="28">
        <f>IF(AQ1177="0",BJ1177,0)</f>
        <v>0</v>
      </c>
      <c r="AI1177" s="10" t="s">
        <v>2024</v>
      </c>
      <c r="AJ1177" s="28">
        <f>IF(AN1177=0,J1177,0)</f>
        <v>0</v>
      </c>
      <c r="AK1177" s="28">
        <f>IF(AN1177=12,J1177,0)</f>
        <v>0</v>
      </c>
      <c r="AL1177" s="28">
        <f>IF(AN1177=21,J1177,0)</f>
        <v>0</v>
      </c>
      <c r="AN1177" s="28">
        <v>21</v>
      </c>
      <c r="AO1177" s="28">
        <f>G1177*0</f>
        <v>0</v>
      </c>
      <c r="AP1177" s="28">
        <f>G1177*(1-0)</f>
        <v>0</v>
      </c>
      <c r="AQ1177" s="30" t="s">
        <v>68</v>
      </c>
      <c r="AV1177" s="28">
        <f>AW1177+AX1177</f>
        <v>0</v>
      </c>
      <c r="AW1177" s="28">
        <f>F1177*AO1177</f>
        <v>0</v>
      </c>
      <c r="AX1177" s="28">
        <f>F1177*AP1177</f>
        <v>0</v>
      </c>
      <c r="AY1177" s="30" t="s">
        <v>2175</v>
      </c>
      <c r="AZ1177" s="30" t="s">
        <v>2123</v>
      </c>
      <c r="BA1177" s="10" t="s">
        <v>2029</v>
      </c>
      <c r="BC1177" s="28">
        <f>AW1177+AX1177</f>
        <v>0</v>
      </c>
      <c r="BD1177" s="28">
        <f>G1177/(100-BE1177)*100</f>
        <v>0</v>
      </c>
      <c r="BE1177" s="28">
        <v>0</v>
      </c>
      <c r="BF1177" s="28">
        <f>1177</f>
        <v>1177</v>
      </c>
      <c r="BH1177" s="28">
        <f>F1177*AO1177</f>
        <v>0</v>
      </c>
      <c r="BI1177" s="28">
        <f>F1177*AP1177</f>
        <v>0</v>
      </c>
      <c r="BJ1177" s="28">
        <f>F1177*G1177</f>
        <v>0</v>
      </c>
      <c r="BK1177" s="28"/>
      <c r="BL1177" s="28"/>
      <c r="BW1177" s="28">
        <v>21</v>
      </c>
    </row>
    <row r="1178" spans="1:75" ht="13.5" customHeight="1" x14ac:dyDescent="0.25">
      <c r="A1178" s="2" t="s">
        <v>2185</v>
      </c>
      <c r="B1178" s="3" t="s">
        <v>2186</v>
      </c>
      <c r="C1178" s="83" t="s">
        <v>2187</v>
      </c>
      <c r="D1178" s="80"/>
      <c r="E1178" s="3" t="s">
        <v>137</v>
      </c>
      <c r="F1178" s="28">
        <v>4</v>
      </c>
      <c r="G1178" s="28">
        <v>0</v>
      </c>
      <c r="H1178" s="28">
        <f>F1178*AO1178</f>
        <v>0</v>
      </c>
      <c r="I1178" s="28">
        <f>F1178*AP1178</f>
        <v>0</v>
      </c>
      <c r="J1178" s="28">
        <f>F1178*G1178</f>
        <v>0</v>
      </c>
      <c r="K1178" s="29" t="s">
        <v>61</v>
      </c>
      <c r="Z1178" s="28">
        <f>IF(AQ1178="5",BJ1178,0)</f>
        <v>0</v>
      </c>
      <c r="AB1178" s="28">
        <f>IF(AQ1178="1",BH1178,0)</f>
        <v>0</v>
      </c>
      <c r="AC1178" s="28">
        <f>IF(AQ1178="1",BI1178,0)</f>
        <v>0</v>
      </c>
      <c r="AD1178" s="28">
        <f>IF(AQ1178="7",BH1178,0)</f>
        <v>0</v>
      </c>
      <c r="AE1178" s="28">
        <f>IF(AQ1178="7",BI1178,0)</f>
        <v>0</v>
      </c>
      <c r="AF1178" s="28">
        <f>IF(AQ1178="2",BH1178,0)</f>
        <v>0</v>
      </c>
      <c r="AG1178" s="28">
        <f>IF(AQ1178="2",BI1178,0)</f>
        <v>0</v>
      </c>
      <c r="AH1178" s="28">
        <f>IF(AQ1178="0",BJ1178,0)</f>
        <v>0</v>
      </c>
      <c r="AI1178" s="10" t="s">
        <v>2024</v>
      </c>
      <c r="AJ1178" s="28">
        <f>IF(AN1178=0,J1178,0)</f>
        <v>0</v>
      </c>
      <c r="AK1178" s="28">
        <f>IF(AN1178=12,J1178,0)</f>
        <v>0</v>
      </c>
      <c r="AL1178" s="28">
        <f>IF(AN1178=21,J1178,0)</f>
        <v>0</v>
      </c>
      <c r="AN1178" s="28">
        <v>21</v>
      </c>
      <c r="AO1178" s="28">
        <f>G1178*0</f>
        <v>0</v>
      </c>
      <c r="AP1178" s="28">
        <f>G1178*(1-0)</f>
        <v>0</v>
      </c>
      <c r="AQ1178" s="30" t="s">
        <v>68</v>
      </c>
      <c r="AV1178" s="28">
        <f>AW1178+AX1178</f>
        <v>0</v>
      </c>
      <c r="AW1178" s="28">
        <f>F1178*AO1178</f>
        <v>0</v>
      </c>
      <c r="AX1178" s="28">
        <f>F1178*AP1178</f>
        <v>0</v>
      </c>
      <c r="AY1178" s="30" t="s">
        <v>2175</v>
      </c>
      <c r="AZ1178" s="30" t="s">
        <v>2123</v>
      </c>
      <c r="BA1178" s="10" t="s">
        <v>2029</v>
      </c>
      <c r="BC1178" s="28">
        <f>AW1178+AX1178</f>
        <v>0</v>
      </c>
      <c r="BD1178" s="28">
        <f>G1178/(100-BE1178)*100</f>
        <v>0</v>
      </c>
      <c r="BE1178" s="28">
        <v>0</v>
      </c>
      <c r="BF1178" s="28">
        <f>1178</f>
        <v>1178</v>
      </c>
      <c r="BH1178" s="28">
        <f>F1178*AO1178</f>
        <v>0</v>
      </c>
      <c r="BI1178" s="28">
        <f>F1178*AP1178</f>
        <v>0</v>
      </c>
      <c r="BJ1178" s="28">
        <f>F1178*G1178</f>
        <v>0</v>
      </c>
      <c r="BK1178" s="28"/>
      <c r="BL1178" s="28"/>
      <c r="BW1178" s="28">
        <v>21</v>
      </c>
    </row>
    <row r="1179" spans="1:75" x14ac:dyDescent="0.25">
      <c r="A1179" s="24" t="s">
        <v>52</v>
      </c>
      <c r="B1179" s="25" t="s">
        <v>2188</v>
      </c>
      <c r="C1179" s="139" t="s">
        <v>2189</v>
      </c>
      <c r="D1179" s="140"/>
      <c r="E1179" s="26" t="s">
        <v>4</v>
      </c>
      <c r="F1179" s="26" t="s">
        <v>4</v>
      </c>
      <c r="G1179" s="26" t="s">
        <v>4</v>
      </c>
      <c r="H1179" s="1">
        <f>SUM(H1180:H1195)</f>
        <v>0</v>
      </c>
      <c r="I1179" s="1">
        <f>SUM(I1180:I1195)</f>
        <v>0</v>
      </c>
      <c r="J1179" s="1">
        <f>SUM(J1180:J1195)</f>
        <v>0</v>
      </c>
      <c r="K1179" s="27" t="s">
        <v>52</v>
      </c>
      <c r="AI1179" s="10" t="s">
        <v>2024</v>
      </c>
      <c r="AS1179" s="1">
        <f>SUM(AJ1180:AJ1195)</f>
        <v>0</v>
      </c>
      <c r="AT1179" s="1">
        <f>SUM(AK1180:AK1195)</f>
        <v>0</v>
      </c>
      <c r="AU1179" s="1">
        <f>SUM(AL1180:AL1195)</f>
        <v>0</v>
      </c>
    </row>
    <row r="1180" spans="1:75" ht="13.5" customHeight="1" x14ac:dyDescent="0.25">
      <c r="A1180" s="2" t="s">
        <v>2190</v>
      </c>
      <c r="B1180" s="3" t="s">
        <v>2191</v>
      </c>
      <c r="C1180" s="83" t="s">
        <v>2192</v>
      </c>
      <c r="D1180" s="80"/>
      <c r="E1180" s="3" t="s">
        <v>78</v>
      </c>
      <c r="F1180" s="28">
        <v>550</v>
      </c>
      <c r="G1180" s="28">
        <v>0</v>
      </c>
      <c r="H1180" s="28">
        <f>F1180*AO1180</f>
        <v>0</v>
      </c>
      <c r="I1180" s="28">
        <f>F1180*AP1180</f>
        <v>0</v>
      </c>
      <c r="J1180" s="28">
        <f>F1180*G1180</f>
        <v>0</v>
      </c>
      <c r="K1180" s="29" t="s">
        <v>61</v>
      </c>
      <c r="Z1180" s="28">
        <f>IF(AQ1180="5",BJ1180,0)</f>
        <v>0</v>
      </c>
      <c r="AB1180" s="28">
        <f>IF(AQ1180="1",BH1180,0)</f>
        <v>0</v>
      </c>
      <c r="AC1180" s="28">
        <f>IF(AQ1180="1",BI1180,0)</f>
        <v>0</v>
      </c>
      <c r="AD1180" s="28">
        <f>IF(AQ1180="7",BH1180,0)</f>
        <v>0</v>
      </c>
      <c r="AE1180" s="28">
        <f>IF(AQ1180="7",BI1180,0)</f>
        <v>0</v>
      </c>
      <c r="AF1180" s="28">
        <f>IF(AQ1180="2",BH1180,0)</f>
        <v>0</v>
      </c>
      <c r="AG1180" s="28">
        <f>IF(AQ1180="2",BI1180,0)</f>
        <v>0</v>
      </c>
      <c r="AH1180" s="28">
        <f>IF(AQ1180="0",BJ1180,0)</f>
        <v>0</v>
      </c>
      <c r="AI1180" s="10" t="s">
        <v>2024</v>
      </c>
      <c r="AJ1180" s="28">
        <f>IF(AN1180=0,J1180,0)</f>
        <v>0</v>
      </c>
      <c r="AK1180" s="28">
        <f>IF(AN1180=12,J1180,0)</f>
        <v>0</v>
      </c>
      <c r="AL1180" s="28">
        <f>IF(AN1180=21,J1180,0)</f>
        <v>0</v>
      </c>
      <c r="AN1180" s="28">
        <v>21</v>
      </c>
      <c r="AO1180" s="28">
        <f>G1180*0</f>
        <v>0</v>
      </c>
      <c r="AP1180" s="28">
        <f>G1180*(1-0)</f>
        <v>0</v>
      </c>
      <c r="AQ1180" s="30" t="s">
        <v>68</v>
      </c>
      <c r="AV1180" s="28">
        <f>AW1180+AX1180</f>
        <v>0</v>
      </c>
      <c r="AW1180" s="28">
        <f>F1180*AO1180</f>
        <v>0</v>
      </c>
      <c r="AX1180" s="28">
        <f>F1180*AP1180</f>
        <v>0</v>
      </c>
      <c r="AY1180" s="30" t="s">
        <v>2193</v>
      </c>
      <c r="AZ1180" s="30" t="s">
        <v>2123</v>
      </c>
      <c r="BA1180" s="10" t="s">
        <v>2029</v>
      </c>
      <c r="BC1180" s="28">
        <f>AW1180+AX1180</f>
        <v>0</v>
      </c>
      <c r="BD1180" s="28">
        <f>G1180/(100-BE1180)*100</f>
        <v>0</v>
      </c>
      <c r="BE1180" s="28">
        <v>0</v>
      </c>
      <c r="BF1180" s="28">
        <f>1180</f>
        <v>1180</v>
      </c>
      <c r="BH1180" s="28">
        <f>F1180*AO1180</f>
        <v>0</v>
      </c>
      <c r="BI1180" s="28">
        <f>F1180*AP1180</f>
        <v>0</v>
      </c>
      <c r="BJ1180" s="28">
        <f>F1180*G1180</f>
        <v>0</v>
      </c>
      <c r="BK1180" s="28"/>
      <c r="BL1180" s="28"/>
      <c r="BW1180" s="28">
        <v>21</v>
      </c>
    </row>
    <row r="1181" spans="1:75" x14ac:dyDescent="0.25">
      <c r="A1181" s="31"/>
      <c r="C1181" s="32" t="s">
        <v>2194</v>
      </c>
      <c r="D1181" s="32" t="s">
        <v>52</v>
      </c>
      <c r="F1181" s="33">
        <v>550</v>
      </c>
      <c r="K1181" s="34"/>
    </row>
    <row r="1182" spans="1:75" ht="13.5" customHeight="1" x14ac:dyDescent="0.25">
      <c r="A1182" s="2" t="s">
        <v>2195</v>
      </c>
      <c r="B1182" s="3" t="s">
        <v>2196</v>
      </c>
      <c r="C1182" s="83" t="s">
        <v>2197</v>
      </c>
      <c r="D1182" s="80"/>
      <c r="E1182" s="3" t="s">
        <v>78</v>
      </c>
      <c r="F1182" s="28">
        <v>130</v>
      </c>
      <c r="G1182" s="28">
        <v>0</v>
      </c>
      <c r="H1182" s="28">
        <f>F1182*AO1182</f>
        <v>0</v>
      </c>
      <c r="I1182" s="28">
        <f>F1182*AP1182</f>
        <v>0</v>
      </c>
      <c r="J1182" s="28">
        <f>F1182*G1182</f>
        <v>0</v>
      </c>
      <c r="K1182" s="29" t="s">
        <v>61</v>
      </c>
      <c r="Z1182" s="28">
        <f>IF(AQ1182="5",BJ1182,0)</f>
        <v>0</v>
      </c>
      <c r="AB1182" s="28">
        <f>IF(AQ1182="1",BH1182,0)</f>
        <v>0</v>
      </c>
      <c r="AC1182" s="28">
        <f>IF(AQ1182="1",BI1182,0)</f>
        <v>0</v>
      </c>
      <c r="AD1182" s="28">
        <f>IF(AQ1182="7",BH1182,0)</f>
        <v>0</v>
      </c>
      <c r="AE1182" s="28">
        <f>IF(AQ1182="7",BI1182,0)</f>
        <v>0</v>
      </c>
      <c r="AF1182" s="28">
        <f>IF(AQ1182="2",BH1182,0)</f>
        <v>0</v>
      </c>
      <c r="AG1182" s="28">
        <f>IF(AQ1182="2",BI1182,0)</f>
        <v>0</v>
      </c>
      <c r="AH1182" s="28">
        <f>IF(AQ1182="0",BJ1182,0)</f>
        <v>0</v>
      </c>
      <c r="AI1182" s="10" t="s">
        <v>2024</v>
      </c>
      <c r="AJ1182" s="28">
        <f>IF(AN1182=0,J1182,0)</f>
        <v>0</v>
      </c>
      <c r="AK1182" s="28">
        <f>IF(AN1182=12,J1182,0)</f>
        <v>0</v>
      </c>
      <c r="AL1182" s="28">
        <f>IF(AN1182=21,J1182,0)</f>
        <v>0</v>
      </c>
      <c r="AN1182" s="28">
        <v>21</v>
      </c>
      <c r="AO1182" s="28">
        <f>G1182*1</f>
        <v>0</v>
      </c>
      <c r="AP1182" s="28">
        <f>G1182*(1-1)</f>
        <v>0</v>
      </c>
      <c r="AQ1182" s="30" t="s">
        <v>57</v>
      </c>
      <c r="AV1182" s="28">
        <f>AW1182+AX1182</f>
        <v>0</v>
      </c>
      <c r="AW1182" s="28">
        <f>F1182*AO1182</f>
        <v>0</v>
      </c>
      <c r="AX1182" s="28">
        <f>F1182*AP1182</f>
        <v>0</v>
      </c>
      <c r="AY1182" s="30" t="s">
        <v>2193</v>
      </c>
      <c r="AZ1182" s="30" t="s">
        <v>2123</v>
      </c>
      <c r="BA1182" s="10" t="s">
        <v>2029</v>
      </c>
      <c r="BC1182" s="28">
        <f>AW1182+AX1182</f>
        <v>0</v>
      </c>
      <c r="BD1182" s="28">
        <f>G1182/(100-BE1182)*100</f>
        <v>0</v>
      </c>
      <c r="BE1182" s="28">
        <v>0</v>
      </c>
      <c r="BF1182" s="28">
        <f>1182</f>
        <v>1182</v>
      </c>
      <c r="BH1182" s="28">
        <f>F1182*AO1182</f>
        <v>0</v>
      </c>
      <c r="BI1182" s="28">
        <f>F1182*AP1182</f>
        <v>0</v>
      </c>
      <c r="BJ1182" s="28">
        <f>F1182*G1182</f>
        <v>0</v>
      </c>
      <c r="BK1182" s="28"/>
      <c r="BL1182" s="28"/>
      <c r="BW1182" s="28">
        <v>21</v>
      </c>
    </row>
    <row r="1183" spans="1:75" ht="13.5" customHeight="1" x14ac:dyDescent="0.25">
      <c r="A1183" s="2" t="s">
        <v>2198</v>
      </c>
      <c r="B1183" s="3" t="s">
        <v>2199</v>
      </c>
      <c r="C1183" s="83" t="s">
        <v>2200</v>
      </c>
      <c r="D1183" s="80"/>
      <c r="E1183" s="3" t="s">
        <v>78</v>
      </c>
      <c r="F1183" s="28">
        <v>420</v>
      </c>
      <c r="G1183" s="28">
        <v>0</v>
      </c>
      <c r="H1183" s="28">
        <f>F1183*AO1183</f>
        <v>0</v>
      </c>
      <c r="I1183" s="28">
        <f>F1183*AP1183</f>
        <v>0</v>
      </c>
      <c r="J1183" s="28">
        <f>F1183*G1183</f>
        <v>0</v>
      </c>
      <c r="K1183" s="29" t="s">
        <v>61</v>
      </c>
      <c r="Z1183" s="28">
        <f>IF(AQ1183="5",BJ1183,0)</f>
        <v>0</v>
      </c>
      <c r="AB1183" s="28">
        <f>IF(AQ1183="1",BH1183,0)</f>
        <v>0</v>
      </c>
      <c r="AC1183" s="28">
        <f>IF(AQ1183="1",BI1183,0)</f>
        <v>0</v>
      </c>
      <c r="AD1183" s="28">
        <f>IF(AQ1183="7",BH1183,0)</f>
        <v>0</v>
      </c>
      <c r="AE1183" s="28">
        <f>IF(AQ1183="7",BI1183,0)</f>
        <v>0</v>
      </c>
      <c r="AF1183" s="28">
        <f>IF(AQ1183="2",BH1183,0)</f>
        <v>0</v>
      </c>
      <c r="AG1183" s="28">
        <f>IF(AQ1183="2",BI1183,0)</f>
        <v>0</v>
      </c>
      <c r="AH1183" s="28">
        <f>IF(AQ1183="0",BJ1183,0)</f>
        <v>0</v>
      </c>
      <c r="AI1183" s="10" t="s">
        <v>2024</v>
      </c>
      <c r="AJ1183" s="28">
        <f>IF(AN1183=0,J1183,0)</f>
        <v>0</v>
      </c>
      <c r="AK1183" s="28">
        <f>IF(AN1183=12,J1183,0)</f>
        <v>0</v>
      </c>
      <c r="AL1183" s="28">
        <f>IF(AN1183=21,J1183,0)</f>
        <v>0</v>
      </c>
      <c r="AN1183" s="28">
        <v>21</v>
      </c>
      <c r="AO1183" s="28">
        <f>G1183*1</f>
        <v>0</v>
      </c>
      <c r="AP1183" s="28">
        <f>G1183*(1-1)</f>
        <v>0</v>
      </c>
      <c r="AQ1183" s="30" t="s">
        <v>57</v>
      </c>
      <c r="AV1183" s="28">
        <f>AW1183+AX1183</f>
        <v>0</v>
      </c>
      <c r="AW1183" s="28">
        <f>F1183*AO1183</f>
        <v>0</v>
      </c>
      <c r="AX1183" s="28">
        <f>F1183*AP1183</f>
        <v>0</v>
      </c>
      <c r="AY1183" s="30" t="s">
        <v>2193</v>
      </c>
      <c r="AZ1183" s="30" t="s">
        <v>2123</v>
      </c>
      <c r="BA1183" s="10" t="s">
        <v>2029</v>
      </c>
      <c r="BC1183" s="28">
        <f>AW1183+AX1183</f>
        <v>0</v>
      </c>
      <c r="BD1183" s="28">
        <f>G1183/(100-BE1183)*100</f>
        <v>0</v>
      </c>
      <c r="BE1183" s="28">
        <v>0</v>
      </c>
      <c r="BF1183" s="28">
        <f>1183</f>
        <v>1183</v>
      </c>
      <c r="BH1183" s="28">
        <f>F1183*AO1183</f>
        <v>0</v>
      </c>
      <c r="BI1183" s="28">
        <f>F1183*AP1183</f>
        <v>0</v>
      </c>
      <c r="BJ1183" s="28">
        <f>F1183*G1183</f>
        <v>0</v>
      </c>
      <c r="BK1183" s="28"/>
      <c r="BL1183" s="28"/>
      <c r="BW1183" s="28">
        <v>21</v>
      </c>
    </row>
    <row r="1184" spans="1:75" ht="13.5" customHeight="1" x14ac:dyDescent="0.25">
      <c r="A1184" s="2" t="s">
        <v>2201</v>
      </c>
      <c r="B1184" s="3" t="s">
        <v>2202</v>
      </c>
      <c r="C1184" s="83" t="s">
        <v>2203</v>
      </c>
      <c r="D1184" s="80"/>
      <c r="E1184" s="3" t="s">
        <v>78</v>
      </c>
      <c r="F1184" s="28">
        <v>190</v>
      </c>
      <c r="G1184" s="28">
        <v>0</v>
      </c>
      <c r="H1184" s="28">
        <f>F1184*AO1184</f>
        <v>0</v>
      </c>
      <c r="I1184" s="28">
        <f>F1184*AP1184</f>
        <v>0</v>
      </c>
      <c r="J1184" s="28">
        <f>F1184*G1184</f>
        <v>0</v>
      </c>
      <c r="K1184" s="29" t="s">
        <v>61</v>
      </c>
      <c r="Z1184" s="28">
        <f>IF(AQ1184="5",BJ1184,0)</f>
        <v>0</v>
      </c>
      <c r="AB1184" s="28">
        <f>IF(AQ1184="1",BH1184,0)</f>
        <v>0</v>
      </c>
      <c r="AC1184" s="28">
        <f>IF(AQ1184="1",BI1184,0)</f>
        <v>0</v>
      </c>
      <c r="AD1184" s="28">
        <f>IF(AQ1184="7",BH1184,0)</f>
        <v>0</v>
      </c>
      <c r="AE1184" s="28">
        <f>IF(AQ1184="7",BI1184,0)</f>
        <v>0</v>
      </c>
      <c r="AF1184" s="28">
        <f>IF(AQ1184="2",BH1184,0)</f>
        <v>0</v>
      </c>
      <c r="AG1184" s="28">
        <f>IF(AQ1184="2",BI1184,0)</f>
        <v>0</v>
      </c>
      <c r="AH1184" s="28">
        <f>IF(AQ1184="0",BJ1184,0)</f>
        <v>0</v>
      </c>
      <c r="AI1184" s="10" t="s">
        <v>2024</v>
      </c>
      <c r="AJ1184" s="28">
        <f>IF(AN1184=0,J1184,0)</f>
        <v>0</v>
      </c>
      <c r="AK1184" s="28">
        <f>IF(AN1184=12,J1184,0)</f>
        <v>0</v>
      </c>
      <c r="AL1184" s="28">
        <f>IF(AN1184=21,J1184,0)</f>
        <v>0</v>
      </c>
      <c r="AN1184" s="28">
        <v>21</v>
      </c>
      <c r="AO1184" s="28">
        <f>G1184*0.611111111</f>
        <v>0</v>
      </c>
      <c r="AP1184" s="28">
        <f>G1184*(1-0.611111111)</f>
        <v>0</v>
      </c>
      <c r="AQ1184" s="30" t="s">
        <v>68</v>
      </c>
      <c r="AV1184" s="28">
        <f>AW1184+AX1184</f>
        <v>0</v>
      </c>
      <c r="AW1184" s="28">
        <f>F1184*AO1184</f>
        <v>0</v>
      </c>
      <c r="AX1184" s="28">
        <f>F1184*AP1184</f>
        <v>0</v>
      </c>
      <c r="AY1184" s="30" t="s">
        <v>2193</v>
      </c>
      <c r="AZ1184" s="30" t="s">
        <v>2123</v>
      </c>
      <c r="BA1184" s="10" t="s">
        <v>2029</v>
      </c>
      <c r="BC1184" s="28">
        <f>AW1184+AX1184</f>
        <v>0</v>
      </c>
      <c r="BD1184" s="28">
        <f>G1184/(100-BE1184)*100</f>
        <v>0</v>
      </c>
      <c r="BE1184" s="28">
        <v>0</v>
      </c>
      <c r="BF1184" s="28">
        <f>1184</f>
        <v>1184</v>
      </c>
      <c r="BH1184" s="28">
        <f>F1184*AO1184</f>
        <v>0</v>
      </c>
      <c r="BI1184" s="28">
        <f>F1184*AP1184</f>
        <v>0</v>
      </c>
      <c r="BJ1184" s="28">
        <f>F1184*G1184</f>
        <v>0</v>
      </c>
      <c r="BK1184" s="28"/>
      <c r="BL1184" s="28"/>
      <c r="BW1184" s="28">
        <v>21</v>
      </c>
    </row>
    <row r="1185" spans="1:75" x14ac:dyDescent="0.25">
      <c r="A1185" s="31"/>
      <c r="C1185" s="32" t="s">
        <v>1153</v>
      </c>
      <c r="D1185" s="32" t="s">
        <v>52</v>
      </c>
      <c r="F1185" s="33">
        <v>190</v>
      </c>
      <c r="K1185" s="34"/>
    </row>
    <row r="1186" spans="1:75" ht="13.5" customHeight="1" x14ac:dyDescent="0.25">
      <c r="A1186" s="2" t="s">
        <v>2204</v>
      </c>
      <c r="B1186" s="3" t="s">
        <v>2205</v>
      </c>
      <c r="C1186" s="83" t="s">
        <v>2206</v>
      </c>
      <c r="D1186" s="80"/>
      <c r="E1186" s="3" t="s">
        <v>78</v>
      </c>
      <c r="F1186" s="28">
        <v>40</v>
      </c>
      <c r="G1186" s="28">
        <v>0</v>
      </c>
      <c r="H1186" s="28">
        <f t="shared" ref="H1186:H1195" si="116">F1186*AO1186</f>
        <v>0</v>
      </c>
      <c r="I1186" s="28">
        <f t="shared" ref="I1186:I1195" si="117">F1186*AP1186</f>
        <v>0</v>
      </c>
      <c r="J1186" s="28">
        <f t="shared" ref="J1186:J1195" si="118">F1186*G1186</f>
        <v>0</v>
      </c>
      <c r="K1186" s="29" t="s">
        <v>61</v>
      </c>
      <c r="Z1186" s="28">
        <f t="shared" ref="Z1186:Z1195" si="119">IF(AQ1186="5",BJ1186,0)</f>
        <v>0</v>
      </c>
      <c r="AB1186" s="28">
        <f t="shared" ref="AB1186:AB1195" si="120">IF(AQ1186="1",BH1186,0)</f>
        <v>0</v>
      </c>
      <c r="AC1186" s="28">
        <f t="shared" ref="AC1186:AC1195" si="121">IF(AQ1186="1",BI1186,0)</f>
        <v>0</v>
      </c>
      <c r="AD1186" s="28">
        <f t="shared" ref="AD1186:AD1195" si="122">IF(AQ1186="7",BH1186,0)</f>
        <v>0</v>
      </c>
      <c r="AE1186" s="28">
        <f t="shared" ref="AE1186:AE1195" si="123">IF(AQ1186="7",BI1186,0)</f>
        <v>0</v>
      </c>
      <c r="AF1186" s="28">
        <f t="shared" ref="AF1186:AF1195" si="124">IF(AQ1186="2",BH1186,0)</f>
        <v>0</v>
      </c>
      <c r="AG1186" s="28">
        <f t="shared" ref="AG1186:AG1195" si="125">IF(AQ1186="2",BI1186,0)</f>
        <v>0</v>
      </c>
      <c r="AH1186" s="28">
        <f t="shared" ref="AH1186:AH1195" si="126">IF(AQ1186="0",BJ1186,0)</f>
        <v>0</v>
      </c>
      <c r="AI1186" s="10" t="s">
        <v>2024</v>
      </c>
      <c r="AJ1186" s="28">
        <f t="shared" ref="AJ1186:AJ1195" si="127">IF(AN1186=0,J1186,0)</f>
        <v>0</v>
      </c>
      <c r="AK1186" s="28">
        <f t="shared" ref="AK1186:AK1195" si="128">IF(AN1186=12,J1186,0)</f>
        <v>0</v>
      </c>
      <c r="AL1186" s="28">
        <f t="shared" ref="AL1186:AL1195" si="129">IF(AN1186=21,J1186,0)</f>
        <v>0</v>
      </c>
      <c r="AN1186" s="28">
        <v>21</v>
      </c>
      <c r="AO1186" s="28">
        <f>G1186*0.637589286</f>
        <v>0</v>
      </c>
      <c r="AP1186" s="28">
        <f>G1186*(1-0.637589286)</f>
        <v>0</v>
      </c>
      <c r="AQ1186" s="30" t="s">
        <v>68</v>
      </c>
      <c r="AV1186" s="28">
        <f t="shared" ref="AV1186:AV1195" si="130">AW1186+AX1186</f>
        <v>0</v>
      </c>
      <c r="AW1186" s="28">
        <f t="shared" ref="AW1186:AW1195" si="131">F1186*AO1186</f>
        <v>0</v>
      </c>
      <c r="AX1186" s="28">
        <f t="shared" ref="AX1186:AX1195" si="132">F1186*AP1186</f>
        <v>0</v>
      </c>
      <c r="AY1186" s="30" t="s">
        <v>2193</v>
      </c>
      <c r="AZ1186" s="30" t="s">
        <v>2123</v>
      </c>
      <c r="BA1186" s="10" t="s">
        <v>2029</v>
      </c>
      <c r="BC1186" s="28">
        <f t="shared" ref="BC1186:BC1195" si="133">AW1186+AX1186</f>
        <v>0</v>
      </c>
      <c r="BD1186" s="28">
        <f t="shared" ref="BD1186:BD1195" si="134">G1186/(100-BE1186)*100</f>
        <v>0</v>
      </c>
      <c r="BE1186" s="28">
        <v>0</v>
      </c>
      <c r="BF1186" s="28">
        <f>1186</f>
        <v>1186</v>
      </c>
      <c r="BH1186" s="28">
        <f t="shared" ref="BH1186:BH1195" si="135">F1186*AO1186</f>
        <v>0</v>
      </c>
      <c r="BI1186" s="28">
        <f t="shared" ref="BI1186:BI1195" si="136">F1186*AP1186</f>
        <v>0</v>
      </c>
      <c r="BJ1186" s="28">
        <f t="shared" ref="BJ1186:BJ1195" si="137">F1186*G1186</f>
        <v>0</v>
      </c>
      <c r="BK1186" s="28"/>
      <c r="BL1186" s="28"/>
      <c r="BW1186" s="28">
        <v>21</v>
      </c>
    </row>
    <row r="1187" spans="1:75" ht="13.5" customHeight="1" x14ac:dyDescent="0.25">
      <c r="A1187" s="2" t="s">
        <v>2207</v>
      </c>
      <c r="B1187" s="3" t="s">
        <v>2208</v>
      </c>
      <c r="C1187" s="83" t="s">
        <v>2209</v>
      </c>
      <c r="D1187" s="80"/>
      <c r="E1187" s="3" t="s">
        <v>78</v>
      </c>
      <c r="F1187" s="28">
        <v>650</v>
      </c>
      <c r="G1187" s="28">
        <v>0</v>
      </c>
      <c r="H1187" s="28">
        <f t="shared" si="116"/>
        <v>0</v>
      </c>
      <c r="I1187" s="28">
        <f t="shared" si="117"/>
        <v>0</v>
      </c>
      <c r="J1187" s="28">
        <f t="shared" si="118"/>
        <v>0</v>
      </c>
      <c r="K1187" s="29" t="s">
        <v>61</v>
      </c>
      <c r="Z1187" s="28">
        <f t="shared" si="119"/>
        <v>0</v>
      </c>
      <c r="AB1187" s="28">
        <f t="shared" si="120"/>
        <v>0</v>
      </c>
      <c r="AC1187" s="28">
        <f t="shared" si="121"/>
        <v>0</v>
      </c>
      <c r="AD1187" s="28">
        <f t="shared" si="122"/>
        <v>0</v>
      </c>
      <c r="AE1187" s="28">
        <f t="shared" si="123"/>
        <v>0</v>
      </c>
      <c r="AF1187" s="28">
        <f t="shared" si="124"/>
        <v>0</v>
      </c>
      <c r="AG1187" s="28">
        <f t="shared" si="125"/>
        <v>0</v>
      </c>
      <c r="AH1187" s="28">
        <f t="shared" si="126"/>
        <v>0</v>
      </c>
      <c r="AI1187" s="10" t="s">
        <v>2024</v>
      </c>
      <c r="AJ1187" s="28">
        <f t="shared" si="127"/>
        <v>0</v>
      </c>
      <c r="AK1187" s="28">
        <f t="shared" si="128"/>
        <v>0</v>
      </c>
      <c r="AL1187" s="28">
        <f t="shared" si="129"/>
        <v>0</v>
      </c>
      <c r="AN1187" s="28">
        <v>21</v>
      </c>
      <c r="AO1187" s="28">
        <f>G1187*0.486852086</f>
        <v>0</v>
      </c>
      <c r="AP1187" s="28">
        <f>G1187*(1-0.486852086)</f>
        <v>0</v>
      </c>
      <c r="AQ1187" s="30" t="s">
        <v>68</v>
      </c>
      <c r="AV1187" s="28">
        <f t="shared" si="130"/>
        <v>0</v>
      </c>
      <c r="AW1187" s="28">
        <f t="shared" si="131"/>
        <v>0</v>
      </c>
      <c r="AX1187" s="28">
        <f t="shared" si="132"/>
        <v>0</v>
      </c>
      <c r="AY1187" s="30" t="s">
        <v>2193</v>
      </c>
      <c r="AZ1187" s="30" t="s">
        <v>2123</v>
      </c>
      <c r="BA1187" s="10" t="s">
        <v>2029</v>
      </c>
      <c r="BC1187" s="28">
        <f t="shared" si="133"/>
        <v>0</v>
      </c>
      <c r="BD1187" s="28">
        <f t="shared" si="134"/>
        <v>0</v>
      </c>
      <c r="BE1187" s="28">
        <v>0</v>
      </c>
      <c r="BF1187" s="28">
        <f>1187</f>
        <v>1187</v>
      </c>
      <c r="BH1187" s="28">
        <f t="shared" si="135"/>
        <v>0</v>
      </c>
      <c r="BI1187" s="28">
        <f t="shared" si="136"/>
        <v>0</v>
      </c>
      <c r="BJ1187" s="28">
        <f t="shared" si="137"/>
        <v>0</v>
      </c>
      <c r="BK1187" s="28"/>
      <c r="BL1187" s="28"/>
      <c r="BW1187" s="28">
        <v>21</v>
      </c>
    </row>
    <row r="1188" spans="1:75" ht="13.5" customHeight="1" x14ac:dyDescent="0.25">
      <c r="A1188" s="2" t="s">
        <v>2210</v>
      </c>
      <c r="B1188" s="3" t="s">
        <v>2211</v>
      </c>
      <c r="C1188" s="83" t="s">
        <v>2212</v>
      </c>
      <c r="D1188" s="80"/>
      <c r="E1188" s="3" t="s">
        <v>78</v>
      </c>
      <c r="F1188" s="28">
        <v>560</v>
      </c>
      <c r="G1188" s="28">
        <v>0</v>
      </c>
      <c r="H1188" s="28">
        <f t="shared" si="116"/>
        <v>0</v>
      </c>
      <c r="I1188" s="28">
        <f t="shared" si="117"/>
        <v>0</v>
      </c>
      <c r="J1188" s="28">
        <f t="shared" si="118"/>
        <v>0</v>
      </c>
      <c r="K1188" s="29" t="s">
        <v>61</v>
      </c>
      <c r="Z1188" s="28">
        <f t="shared" si="119"/>
        <v>0</v>
      </c>
      <c r="AB1188" s="28">
        <f t="shared" si="120"/>
        <v>0</v>
      </c>
      <c r="AC1188" s="28">
        <f t="shared" si="121"/>
        <v>0</v>
      </c>
      <c r="AD1188" s="28">
        <f t="shared" si="122"/>
        <v>0</v>
      </c>
      <c r="AE1188" s="28">
        <f t="shared" si="123"/>
        <v>0</v>
      </c>
      <c r="AF1188" s="28">
        <f t="shared" si="124"/>
        <v>0</v>
      </c>
      <c r="AG1188" s="28">
        <f t="shared" si="125"/>
        <v>0</v>
      </c>
      <c r="AH1188" s="28">
        <f t="shared" si="126"/>
        <v>0</v>
      </c>
      <c r="AI1188" s="10" t="s">
        <v>2024</v>
      </c>
      <c r="AJ1188" s="28">
        <f t="shared" si="127"/>
        <v>0</v>
      </c>
      <c r="AK1188" s="28">
        <f t="shared" si="128"/>
        <v>0</v>
      </c>
      <c r="AL1188" s="28">
        <f t="shared" si="129"/>
        <v>0</v>
      </c>
      <c r="AN1188" s="28">
        <v>21</v>
      </c>
      <c r="AO1188" s="28">
        <f>G1188*0.390262871</f>
        <v>0</v>
      </c>
      <c r="AP1188" s="28">
        <f>G1188*(1-0.390262871)</f>
        <v>0</v>
      </c>
      <c r="AQ1188" s="30" t="s">
        <v>68</v>
      </c>
      <c r="AV1188" s="28">
        <f t="shared" si="130"/>
        <v>0</v>
      </c>
      <c r="AW1188" s="28">
        <f t="shared" si="131"/>
        <v>0</v>
      </c>
      <c r="AX1188" s="28">
        <f t="shared" si="132"/>
        <v>0</v>
      </c>
      <c r="AY1188" s="30" t="s">
        <v>2193</v>
      </c>
      <c r="AZ1188" s="30" t="s">
        <v>2123</v>
      </c>
      <c r="BA1188" s="10" t="s">
        <v>2029</v>
      </c>
      <c r="BC1188" s="28">
        <f t="shared" si="133"/>
        <v>0</v>
      </c>
      <c r="BD1188" s="28">
        <f t="shared" si="134"/>
        <v>0</v>
      </c>
      <c r="BE1188" s="28">
        <v>0</v>
      </c>
      <c r="BF1188" s="28">
        <f>1188</f>
        <v>1188</v>
      </c>
      <c r="BH1188" s="28">
        <f t="shared" si="135"/>
        <v>0</v>
      </c>
      <c r="BI1188" s="28">
        <f t="shared" si="136"/>
        <v>0</v>
      </c>
      <c r="BJ1188" s="28">
        <f t="shared" si="137"/>
        <v>0</v>
      </c>
      <c r="BK1188" s="28"/>
      <c r="BL1188" s="28"/>
      <c r="BW1188" s="28">
        <v>21</v>
      </c>
    </row>
    <row r="1189" spans="1:75" ht="13.5" customHeight="1" x14ac:dyDescent="0.25">
      <c r="A1189" s="2" t="s">
        <v>2213</v>
      </c>
      <c r="B1189" s="3" t="s">
        <v>2214</v>
      </c>
      <c r="C1189" s="83" t="s">
        <v>2215</v>
      </c>
      <c r="D1189" s="80"/>
      <c r="E1189" s="3" t="s">
        <v>78</v>
      </c>
      <c r="F1189" s="28">
        <v>200</v>
      </c>
      <c r="G1189" s="28">
        <v>0</v>
      </c>
      <c r="H1189" s="28">
        <f t="shared" si="116"/>
        <v>0</v>
      </c>
      <c r="I1189" s="28">
        <f t="shared" si="117"/>
        <v>0</v>
      </c>
      <c r="J1189" s="28">
        <f t="shared" si="118"/>
        <v>0</v>
      </c>
      <c r="K1189" s="29" t="s">
        <v>61</v>
      </c>
      <c r="Z1189" s="28">
        <f t="shared" si="119"/>
        <v>0</v>
      </c>
      <c r="AB1189" s="28">
        <f t="shared" si="120"/>
        <v>0</v>
      </c>
      <c r="AC1189" s="28">
        <f t="shared" si="121"/>
        <v>0</v>
      </c>
      <c r="AD1189" s="28">
        <f t="shared" si="122"/>
        <v>0</v>
      </c>
      <c r="AE1189" s="28">
        <f t="shared" si="123"/>
        <v>0</v>
      </c>
      <c r="AF1189" s="28">
        <f t="shared" si="124"/>
        <v>0</v>
      </c>
      <c r="AG1189" s="28">
        <f t="shared" si="125"/>
        <v>0</v>
      </c>
      <c r="AH1189" s="28">
        <f t="shared" si="126"/>
        <v>0</v>
      </c>
      <c r="AI1189" s="10" t="s">
        <v>2024</v>
      </c>
      <c r="AJ1189" s="28">
        <f t="shared" si="127"/>
        <v>0</v>
      </c>
      <c r="AK1189" s="28">
        <f t="shared" si="128"/>
        <v>0</v>
      </c>
      <c r="AL1189" s="28">
        <f t="shared" si="129"/>
        <v>0</v>
      </c>
      <c r="AN1189" s="28">
        <v>21</v>
      </c>
      <c r="AO1189" s="28">
        <f>G1189*0.391209815</f>
        <v>0</v>
      </c>
      <c r="AP1189" s="28">
        <f>G1189*(1-0.391209815)</f>
        <v>0</v>
      </c>
      <c r="AQ1189" s="30" t="s">
        <v>68</v>
      </c>
      <c r="AV1189" s="28">
        <f t="shared" si="130"/>
        <v>0</v>
      </c>
      <c r="AW1189" s="28">
        <f t="shared" si="131"/>
        <v>0</v>
      </c>
      <c r="AX1189" s="28">
        <f t="shared" si="132"/>
        <v>0</v>
      </c>
      <c r="AY1189" s="30" t="s">
        <v>2193</v>
      </c>
      <c r="AZ1189" s="30" t="s">
        <v>2123</v>
      </c>
      <c r="BA1189" s="10" t="s">
        <v>2029</v>
      </c>
      <c r="BC1189" s="28">
        <f t="shared" si="133"/>
        <v>0</v>
      </c>
      <c r="BD1189" s="28">
        <f t="shared" si="134"/>
        <v>0</v>
      </c>
      <c r="BE1189" s="28">
        <v>0</v>
      </c>
      <c r="BF1189" s="28">
        <f>1189</f>
        <v>1189</v>
      </c>
      <c r="BH1189" s="28">
        <f t="shared" si="135"/>
        <v>0</v>
      </c>
      <c r="BI1189" s="28">
        <f t="shared" si="136"/>
        <v>0</v>
      </c>
      <c r="BJ1189" s="28">
        <f t="shared" si="137"/>
        <v>0</v>
      </c>
      <c r="BK1189" s="28"/>
      <c r="BL1189" s="28"/>
      <c r="BW1189" s="28">
        <v>21</v>
      </c>
    </row>
    <row r="1190" spans="1:75" ht="13.5" customHeight="1" x14ac:dyDescent="0.25">
      <c r="A1190" s="2" t="s">
        <v>2216</v>
      </c>
      <c r="B1190" s="3" t="s">
        <v>2217</v>
      </c>
      <c r="C1190" s="83" t="s">
        <v>2218</v>
      </c>
      <c r="D1190" s="80"/>
      <c r="E1190" s="3" t="s">
        <v>78</v>
      </c>
      <c r="F1190" s="28">
        <v>480</v>
      </c>
      <c r="G1190" s="28">
        <v>0</v>
      </c>
      <c r="H1190" s="28">
        <f t="shared" si="116"/>
        <v>0</v>
      </c>
      <c r="I1190" s="28">
        <f t="shared" si="117"/>
        <v>0</v>
      </c>
      <c r="J1190" s="28">
        <f t="shared" si="118"/>
        <v>0</v>
      </c>
      <c r="K1190" s="29" t="s">
        <v>61</v>
      </c>
      <c r="Z1190" s="28">
        <f t="shared" si="119"/>
        <v>0</v>
      </c>
      <c r="AB1190" s="28">
        <f t="shared" si="120"/>
        <v>0</v>
      </c>
      <c r="AC1190" s="28">
        <f t="shared" si="121"/>
        <v>0</v>
      </c>
      <c r="AD1190" s="28">
        <f t="shared" si="122"/>
        <v>0</v>
      </c>
      <c r="AE1190" s="28">
        <f t="shared" si="123"/>
        <v>0</v>
      </c>
      <c r="AF1190" s="28">
        <f t="shared" si="124"/>
        <v>0</v>
      </c>
      <c r="AG1190" s="28">
        <f t="shared" si="125"/>
        <v>0</v>
      </c>
      <c r="AH1190" s="28">
        <f t="shared" si="126"/>
        <v>0</v>
      </c>
      <c r="AI1190" s="10" t="s">
        <v>2024</v>
      </c>
      <c r="AJ1190" s="28">
        <f t="shared" si="127"/>
        <v>0</v>
      </c>
      <c r="AK1190" s="28">
        <f t="shared" si="128"/>
        <v>0</v>
      </c>
      <c r="AL1190" s="28">
        <f t="shared" si="129"/>
        <v>0</v>
      </c>
      <c r="AN1190" s="28">
        <v>21</v>
      </c>
      <c r="AO1190" s="28">
        <f>G1190*0.287711018</f>
        <v>0</v>
      </c>
      <c r="AP1190" s="28">
        <f>G1190*(1-0.287711018)</f>
        <v>0</v>
      </c>
      <c r="AQ1190" s="30" t="s">
        <v>68</v>
      </c>
      <c r="AV1190" s="28">
        <f t="shared" si="130"/>
        <v>0</v>
      </c>
      <c r="AW1190" s="28">
        <f t="shared" si="131"/>
        <v>0</v>
      </c>
      <c r="AX1190" s="28">
        <f t="shared" si="132"/>
        <v>0</v>
      </c>
      <c r="AY1190" s="30" t="s">
        <v>2193</v>
      </c>
      <c r="AZ1190" s="30" t="s">
        <v>2123</v>
      </c>
      <c r="BA1190" s="10" t="s">
        <v>2029</v>
      </c>
      <c r="BC1190" s="28">
        <f t="shared" si="133"/>
        <v>0</v>
      </c>
      <c r="BD1190" s="28">
        <f t="shared" si="134"/>
        <v>0</v>
      </c>
      <c r="BE1190" s="28">
        <v>0</v>
      </c>
      <c r="BF1190" s="28">
        <f>1190</f>
        <v>1190</v>
      </c>
      <c r="BH1190" s="28">
        <f t="shared" si="135"/>
        <v>0</v>
      </c>
      <c r="BI1190" s="28">
        <f t="shared" si="136"/>
        <v>0</v>
      </c>
      <c r="BJ1190" s="28">
        <f t="shared" si="137"/>
        <v>0</v>
      </c>
      <c r="BK1190" s="28"/>
      <c r="BL1190" s="28"/>
      <c r="BW1190" s="28">
        <v>21</v>
      </c>
    </row>
    <row r="1191" spans="1:75" ht="13.5" customHeight="1" x14ac:dyDescent="0.25">
      <c r="A1191" s="2" t="s">
        <v>2219</v>
      </c>
      <c r="B1191" s="3" t="s">
        <v>2220</v>
      </c>
      <c r="C1191" s="83" t="s">
        <v>2221</v>
      </c>
      <c r="D1191" s="80"/>
      <c r="E1191" s="3" t="s">
        <v>78</v>
      </c>
      <c r="F1191" s="28">
        <v>10</v>
      </c>
      <c r="G1191" s="28">
        <v>0</v>
      </c>
      <c r="H1191" s="28">
        <f t="shared" si="116"/>
        <v>0</v>
      </c>
      <c r="I1191" s="28">
        <f t="shared" si="117"/>
        <v>0</v>
      </c>
      <c r="J1191" s="28">
        <f t="shared" si="118"/>
        <v>0</v>
      </c>
      <c r="K1191" s="29" t="s">
        <v>61</v>
      </c>
      <c r="Z1191" s="28">
        <f t="shared" si="119"/>
        <v>0</v>
      </c>
      <c r="AB1191" s="28">
        <f t="shared" si="120"/>
        <v>0</v>
      </c>
      <c r="AC1191" s="28">
        <f t="shared" si="121"/>
        <v>0</v>
      </c>
      <c r="AD1191" s="28">
        <f t="shared" si="122"/>
        <v>0</v>
      </c>
      <c r="AE1191" s="28">
        <f t="shared" si="123"/>
        <v>0</v>
      </c>
      <c r="AF1191" s="28">
        <f t="shared" si="124"/>
        <v>0</v>
      </c>
      <c r="AG1191" s="28">
        <f t="shared" si="125"/>
        <v>0</v>
      </c>
      <c r="AH1191" s="28">
        <f t="shared" si="126"/>
        <v>0</v>
      </c>
      <c r="AI1191" s="10" t="s">
        <v>2024</v>
      </c>
      <c r="AJ1191" s="28">
        <f t="shared" si="127"/>
        <v>0</v>
      </c>
      <c r="AK1191" s="28">
        <f t="shared" si="128"/>
        <v>0</v>
      </c>
      <c r="AL1191" s="28">
        <f t="shared" si="129"/>
        <v>0</v>
      </c>
      <c r="AN1191" s="28">
        <v>21</v>
      </c>
      <c r="AO1191" s="28">
        <f>G1191*0.64893617</f>
        <v>0</v>
      </c>
      <c r="AP1191" s="28">
        <f>G1191*(1-0.64893617)</f>
        <v>0</v>
      </c>
      <c r="AQ1191" s="30" t="s">
        <v>68</v>
      </c>
      <c r="AV1191" s="28">
        <f t="shared" si="130"/>
        <v>0</v>
      </c>
      <c r="AW1191" s="28">
        <f t="shared" si="131"/>
        <v>0</v>
      </c>
      <c r="AX1191" s="28">
        <f t="shared" si="132"/>
        <v>0</v>
      </c>
      <c r="AY1191" s="30" t="s">
        <v>2193</v>
      </c>
      <c r="AZ1191" s="30" t="s">
        <v>2123</v>
      </c>
      <c r="BA1191" s="10" t="s">
        <v>2029</v>
      </c>
      <c r="BC1191" s="28">
        <f t="shared" si="133"/>
        <v>0</v>
      </c>
      <c r="BD1191" s="28">
        <f t="shared" si="134"/>
        <v>0</v>
      </c>
      <c r="BE1191" s="28">
        <v>0</v>
      </c>
      <c r="BF1191" s="28">
        <f>1191</f>
        <v>1191</v>
      </c>
      <c r="BH1191" s="28">
        <f t="shared" si="135"/>
        <v>0</v>
      </c>
      <c r="BI1191" s="28">
        <f t="shared" si="136"/>
        <v>0</v>
      </c>
      <c r="BJ1191" s="28">
        <f t="shared" si="137"/>
        <v>0</v>
      </c>
      <c r="BK1191" s="28"/>
      <c r="BL1191" s="28"/>
      <c r="BW1191" s="28">
        <v>21</v>
      </c>
    </row>
    <row r="1192" spans="1:75" ht="13.5" customHeight="1" x14ac:dyDescent="0.25">
      <c r="A1192" s="2" t="s">
        <v>2222</v>
      </c>
      <c r="B1192" s="3" t="s">
        <v>2223</v>
      </c>
      <c r="C1192" s="83" t="s">
        <v>2224</v>
      </c>
      <c r="D1192" s="80"/>
      <c r="E1192" s="3" t="s">
        <v>78</v>
      </c>
      <c r="F1192" s="28">
        <v>180</v>
      </c>
      <c r="G1192" s="28">
        <v>0</v>
      </c>
      <c r="H1192" s="28">
        <f t="shared" si="116"/>
        <v>0</v>
      </c>
      <c r="I1192" s="28">
        <f t="shared" si="117"/>
        <v>0</v>
      </c>
      <c r="J1192" s="28">
        <f t="shared" si="118"/>
        <v>0</v>
      </c>
      <c r="K1192" s="29" t="s">
        <v>61</v>
      </c>
      <c r="Z1192" s="28">
        <f t="shared" si="119"/>
        <v>0</v>
      </c>
      <c r="AB1192" s="28">
        <f t="shared" si="120"/>
        <v>0</v>
      </c>
      <c r="AC1192" s="28">
        <f t="shared" si="121"/>
        <v>0</v>
      </c>
      <c r="AD1192" s="28">
        <f t="shared" si="122"/>
        <v>0</v>
      </c>
      <c r="AE1192" s="28">
        <f t="shared" si="123"/>
        <v>0</v>
      </c>
      <c r="AF1192" s="28">
        <f t="shared" si="124"/>
        <v>0</v>
      </c>
      <c r="AG1192" s="28">
        <f t="shared" si="125"/>
        <v>0</v>
      </c>
      <c r="AH1192" s="28">
        <f t="shared" si="126"/>
        <v>0</v>
      </c>
      <c r="AI1192" s="10" t="s">
        <v>2024</v>
      </c>
      <c r="AJ1192" s="28">
        <f t="shared" si="127"/>
        <v>0</v>
      </c>
      <c r="AK1192" s="28">
        <f t="shared" si="128"/>
        <v>0</v>
      </c>
      <c r="AL1192" s="28">
        <f t="shared" si="129"/>
        <v>0</v>
      </c>
      <c r="AN1192" s="28">
        <v>21</v>
      </c>
      <c r="AO1192" s="28">
        <f>G1192*0.362529002</f>
        <v>0</v>
      </c>
      <c r="AP1192" s="28">
        <f>G1192*(1-0.362529002)</f>
        <v>0</v>
      </c>
      <c r="AQ1192" s="30" t="s">
        <v>68</v>
      </c>
      <c r="AV1192" s="28">
        <f t="shared" si="130"/>
        <v>0</v>
      </c>
      <c r="AW1192" s="28">
        <f t="shared" si="131"/>
        <v>0</v>
      </c>
      <c r="AX1192" s="28">
        <f t="shared" si="132"/>
        <v>0</v>
      </c>
      <c r="AY1192" s="30" t="s">
        <v>2193</v>
      </c>
      <c r="AZ1192" s="30" t="s">
        <v>2123</v>
      </c>
      <c r="BA1192" s="10" t="s">
        <v>2029</v>
      </c>
      <c r="BC1192" s="28">
        <f t="shared" si="133"/>
        <v>0</v>
      </c>
      <c r="BD1192" s="28">
        <f t="shared" si="134"/>
        <v>0</v>
      </c>
      <c r="BE1192" s="28">
        <v>0</v>
      </c>
      <c r="BF1192" s="28">
        <f>1192</f>
        <v>1192</v>
      </c>
      <c r="BH1192" s="28">
        <f t="shared" si="135"/>
        <v>0</v>
      </c>
      <c r="BI1192" s="28">
        <f t="shared" si="136"/>
        <v>0</v>
      </c>
      <c r="BJ1192" s="28">
        <f t="shared" si="137"/>
        <v>0</v>
      </c>
      <c r="BK1192" s="28"/>
      <c r="BL1192" s="28"/>
      <c r="BW1192" s="28">
        <v>21</v>
      </c>
    </row>
    <row r="1193" spans="1:75" ht="13.5" customHeight="1" x14ac:dyDescent="0.25">
      <c r="A1193" s="2" t="s">
        <v>2225</v>
      </c>
      <c r="B1193" s="3" t="s">
        <v>2226</v>
      </c>
      <c r="C1193" s="83" t="s">
        <v>2227</v>
      </c>
      <c r="D1193" s="80"/>
      <c r="E1193" s="3" t="s">
        <v>137</v>
      </c>
      <c r="F1193" s="28">
        <v>20</v>
      </c>
      <c r="G1193" s="28">
        <v>0</v>
      </c>
      <c r="H1193" s="28">
        <f t="shared" si="116"/>
        <v>0</v>
      </c>
      <c r="I1193" s="28">
        <f t="shared" si="117"/>
        <v>0</v>
      </c>
      <c r="J1193" s="28">
        <f t="shared" si="118"/>
        <v>0</v>
      </c>
      <c r="K1193" s="29" t="s">
        <v>1491</v>
      </c>
      <c r="Z1193" s="28">
        <f t="shared" si="119"/>
        <v>0</v>
      </c>
      <c r="AB1193" s="28">
        <f t="shared" si="120"/>
        <v>0</v>
      </c>
      <c r="AC1193" s="28">
        <f t="shared" si="121"/>
        <v>0</v>
      </c>
      <c r="AD1193" s="28">
        <f t="shared" si="122"/>
        <v>0</v>
      </c>
      <c r="AE1193" s="28">
        <f t="shared" si="123"/>
        <v>0</v>
      </c>
      <c r="AF1193" s="28">
        <f t="shared" si="124"/>
        <v>0</v>
      </c>
      <c r="AG1193" s="28">
        <f t="shared" si="125"/>
        <v>0</v>
      </c>
      <c r="AH1193" s="28">
        <f t="shared" si="126"/>
        <v>0</v>
      </c>
      <c r="AI1193" s="10" t="s">
        <v>2024</v>
      </c>
      <c r="AJ1193" s="28">
        <f t="shared" si="127"/>
        <v>0</v>
      </c>
      <c r="AK1193" s="28">
        <f t="shared" si="128"/>
        <v>0</v>
      </c>
      <c r="AL1193" s="28">
        <f t="shared" si="129"/>
        <v>0</v>
      </c>
      <c r="AN1193" s="28">
        <v>21</v>
      </c>
      <c r="AO1193" s="28">
        <f>G1193*0.093709276</f>
        <v>0</v>
      </c>
      <c r="AP1193" s="28">
        <f>G1193*(1-0.093709276)</f>
        <v>0</v>
      </c>
      <c r="AQ1193" s="30" t="s">
        <v>68</v>
      </c>
      <c r="AV1193" s="28">
        <f t="shared" si="130"/>
        <v>0</v>
      </c>
      <c r="AW1193" s="28">
        <f t="shared" si="131"/>
        <v>0</v>
      </c>
      <c r="AX1193" s="28">
        <f t="shared" si="132"/>
        <v>0</v>
      </c>
      <c r="AY1193" s="30" t="s">
        <v>2193</v>
      </c>
      <c r="AZ1193" s="30" t="s">
        <v>2123</v>
      </c>
      <c r="BA1193" s="10" t="s">
        <v>2029</v>
      </c>
      <c r="BC1193" s="28">
        <f t="shared" si="133"/>
        <v>0</v>
      </c>
      <c r="BD1193" s="28">
        <f t="shared" si="134"/>
        <v>0</v>
      </c>
      <c r="BE1193" s="28">
        <v>0</v>
      </c>
      <c r="BF1193" s="28">
        <f>1193</f>
        <v>1193</v>
      </c>
      <c r="BH1193" s="28">
        <f t="shared" si="135"/>
        <v>0</v>
      </c>
      <c r="BI1193" s="28">
        <f t="shared" si="136"/>
        <v>0</v>
      </c>
      <c r="BJ1193" s="28">
        <f t="shared" si="137"/>
        <v>0</v>
      </c>
      <c r="BK1193" s="28"/>
      <c r="BL1193" s="28"/>
      <c r="BW1193" s="28">
        <v>21</v>
      </c>
    </row>
    <row r="1194" spans="1:75" ht="13.5" customHeight="1" x14ac:dyDescent="0.25">
      <c r="A1194" s="2" t="s">
        <v>2228</v>
      </c>
      <c r="B1194" s="3" t="s">
        <v>2229</v>
      </c>
      <c r="C1194" s="83" t="s">
        <v>2230</v>
      </c>
      <c r="D1194" s="80"/>
      <c r="E1194" s="3" t="s">
        <v>137</v>
      </c>
      <c r="F1194" s="28">
        <v>1</v>
      </c>
      <c r="G1194" s="28">
        <v>0</v>
      </c>
      <c r="H1194" s="28">
        <f t="shared" si="116"/>
        <v>0</v>
      </c>
      <c r="I1194" s="28">
        <f t="shared" si="117"/>
        <v>0</v>
      </c>
      <c r="J1194" s="28">
        <f t="shared" si="118"/>
        <v>0</v>
      </c>
      <c r="K1194" s="29" t="s">
        <v>1491</v>
      </c>
      <c r="Z1194" s="28">
        <f t="shared" si="119"/>
        <v>0</v>
      </c>
      <c r="AB1194" s="28">
        <f t="shared" si="120"/>
        <v>0</v>
      </c>
      <c r="AC1194" s="28">
        <f t="shared" si="121"/>
        <v>0</v>
      </c>
      <c r="AD1194" s="28">
        <f t="shared" si="122"/>
        <v>0</v>
      </c>
      <c r="AE1194" s="28">
        <f t="shared" si="123"/>
        <v>0</v>
      </c>
      <c r="AF1194" s="28">
        <f t="shared" si="124"/>
        <v>0</v>
      </c>
      <c r="AG1194" s="28">
        <f t="shared" si="125"/>
        <v>0</v>
      </c>
      <c r="AH1194" s="28">
        <f t="shared" si="126"/>
        <v>0</v>
      </c>
      <c r="AI1194" s="10" t="s">
        <v>2024</v>
      </c>
      <c r="AJ1194" s="28">
        <f t="shared" si="127"/>
        <v>0</v>
      </c>
      <c r="AK1194" s="28">
        <f t="shared" si="128"/>
        <v>0</v>
      </c>
      <c r="AL1194" s="28">
        <f t="shared" si="129"/>
        <v>0</v>
      </c>
      <c r="AN1194" s="28">
        <v>21</v>
      </c>
      <c r="AO1194" s="28">
        <f>G1194*0.5</f>
        <v>0</v>
      </c>
      <c r="AP1194" s="28">
        <f>G1194*(1-0.5)</f>
        <v>0</v>
      </c>
      <c r="AQ1194" s="30" t="s">
        <v>68</v>
      </c>
      <c r="AV1194" s="28">
        <f t="shared" si="130"/>
        <v>0</v>
      </c>
      <c r="AW1194" s="28">
        <f t="shared" si="131"/>
        <v>0</v>
      </c>
      <c r="AX1194" s="28">
        <f t="shared" si="132"/>
        <v>0</v>
      </c>
      <c r="AY1194" s="30" t="s">
        <v>2193</v>
      </c>
      <c r="AZ1194" s="30" t="s">
        <v>2123</v>
      </c>
      <c r="BA1194" s="10" t="s">
        <v>2029</v>
      </c>
      <c r="BC1194" s="28">
        <f t="shared" si="133"/>
        <v>0</v>
      </c>
      <c r="BD1194" s="28">
        <f t="shared" si="134"/>
        <v>0</v>
      </c>
      <c r="BE1194" s="28">
        <v>0</v>
      </c>
      <c r="BF1194" s="28">
        <f>1194</f>
        <v>1194</v>
      </c>
      <c r="BH1194" s="28">
        <f t="shared" si="135"/>
        <v>0</v>
      </c>
      <c r="BI1194" s="28">
        <f t="shared" si="136"/>
        <v>0</v>
      </c>
      <c r="BJ1194" s="28">
        <f t="shared" si="137"/>
        <v>0</v>
      </c>
      <c r="BK1194" s="28"/>
      <c r="BL1194" s="28"/>
      <c r="BW1194" s="28">
        <v>21</v>
      </c>
    </row>
    <row r="1195" spans="1:75" ht="13.5" customHeight="1" x14ac:dyDescent="0.25">
      <c r="A1195" s="2" t="s">
        <v>2231</v>
      </c>
      <c r="B1195" s="3" t="s">
        <v>2232</v>
      </c>
      <c r="C1195" s="83" t="s">
        <v>2233</v>
      </c>
      <c r="D1195" s="80"/>
      <c r="E1195" s="3" t="s">
        <v>137</v>
      </c>
      <c r="F1195" s="28">
        <v>2</v>
      </c>
      <c r="G1195" s="28">
        <v>0</v>
      </c>
      <c r="H1195" s="28">
        <f t="shared" si="116"/>
        <v>0</v>
      </c>
      <c r="I1195" s="28">
        <f t="shared" si="117"/>
        <v>0</v>
      </c>
      <c r="J1195" s="28">
        <f t="shared" si="118"/>
        <v>0</v>
      </c>
      <c r="K1195" s="29" t="s">
        <v>1491</v>
      </c>
      <c r="Z1195" s="28">
        <f t="shared" si="119"/>
        <v>0</v>
      </c>
      <c r="AB1195" s="28">
        <f t="shared" si="120"/>
        <v>0</v>
      </c>
      <c r="AC1195" s="28">
        <f t="shared" si="121"/>
        <v>0</v>
      </c>
      <c r="AD1195" s="28">
        <f t="shared" si="122"/>
        <v>0</v>
      </c>
      <c r="AE1195" s="28">
        <f t="shared" si="123"/>
        <v>0</v>
      </c>
      <c r="AF1195" s="28">
        <f t="shared" si="124"/>
        <v>0</v>
      </c>
      <c r="AG1195" s="28">
        <f t="shared" si="125"/>
        <v>0</v>
      </c>
      <c r="AH1195" s="28">
        <f t="shared" si="126"/>
        <v>0</v>
      </c>
      <c r="AI1195" s="10" t="s">
        <v>2024</v>
      </c>
      <c r="AJ1195" s="28">
        <f t="shared" si="127"/>
        <v>0</v>
      </c>
      <c r="AK1195" s="28">
        <f t="shared" si="128"/>
        <v>0</v>
      </c>
      <c r="AL1195" s="28">
        <f t="shared" si="129"/>
        <v>0</v>
      </c>
      <c r="AN1195" s="28">
        <v>21</v>
      </c>
      <c r="AO1195" s="28">
        <f>G1195*0.384236453</f>
        <v>0</v>
      </c>
      <c r="AP1195" s="28">
        <f>G1195*(1-0.384236453)</f>
        <v>0</v>
      </c>
      <c r="AQ1195" s="30" t="s">
        <v>68</v>
      </c>
      <c r="AV1195" s="28">
        <f t="shared" si="130"/>
        <v>0</v>
      </c>
      <c r="AW1195" s="28">
        <f t="shared" si="131"/>
        <v>0</v>
      </c>
      <c r="AX1195" s="28">
        <f t="shared" si="132"/>
        <v>0</v>
      </c>
      <c r="AY1195" s="30" t="s">
        <v>2193</v>
      </c>
      <c r="AZ1195" s="30" t="s">
        <v>2123</v>
      </c>
      <c r="BA1195" s="10" t="s">
        <v>2029</v>
      </c>
      <c r="BC1195" s="28">
        <f t="shared" si="133"/>
        <v>0</v>
      </c>
      <c r="BD1195" s="28">
        <f t="shared" si="134"/>
        <v>0</v>
      </c>
      <c r="BE1195" s="28">
        <v>0</v>
      </c>
      <c r="BF1195" s="28">
        <f>1195</f>
        <v>1195</v>
      </c>
      <c r="BH1195" s="28">
        <f t="shared" si="135"/>
        <v>0</v>
      </c>
      <c r="BI1195" s="28">
        <f t="shared" si="136"/>
        <v>0</v>
      </c>
      <c r="BJ1195" s="28">
        <f t="shared" si="137"/>
        <v>0</v>
      </c>
      <c r="BK1195" s="28"/>
      <c r="BL1195" s="28"/>
      <c r="BW1195" s="28">
        <v>21</v>
      </c>
    </row>
    <row r="1196" spans="1:75" x14ac:dyDescent="0.25">
      <c r="A1196" s="24" t="s">
        <v>52</v>
      </c>
      <c r="B1196" s="25" t="s">
        <v>2234</v>
      </c>
      <c r="C1196" s="139" t="s">
        <v>2235</v>
      </c>
      <c r="D1196" s="140"/>
      <c r="E1196" s="26" t="s">
        <v>4</v>
      </c>
      <c r="F1196" s="26" t="s">
        <v>4</v>
      </c>
      <c r="G1196" s="26" t="s">
        <v>4</v>
      </c>
      <c r="H1196" s="1">
        <f>SUM(H1197:H1216)</f>
        <v>0</v>
      </c>
      <c r="I1196" s="1">
        <f>SUM(I1197:I1216)</f>
        <v>0</v>
      </c>
      <c r="J1196" s="1">
        <f>SUM(J1197:J1216)</f>
        <v>0</v>
      </c>
      <c r="K1196" s="27" t="s">
        <v>52</v>
      </c>
      <c r="AI1196" s="10" t="s">
        <v>2024</v>
      </c>
      <c r="AS1196" s="1">
        <f>SUM(AJ1197:AJ1216)</f>
        <v>0</v>
      </c>
      <c r="AT1196" s="1">
        <f>SUM(AK1197:AK1216)</f>
        <v>0</v>
      </c>
      <c r="AU1196" s="1">
        <f>SUM(AL1197:AL1216)</f>
        <v>0</v>
      </c>
    </row>
    <row r="1197" spans="1:75" ht="13.5" customHeight="1" x14ac:dyDescent="0.25">
      <c r="A1197" s="2" t="s">
        <v>2236</v>
      </c>
      <c r="B1197" s="3" t="s">
        <v>2237</v>
      </c>
      <c r="C1197" s="83" t="s">
        <v>2238</v>
      </c>
      <c r="D1197" s="80"/>
      <c r="E1197" s="3" t="s">
        <v>78</v>
      </c>
      <c r="F1197" s="28">
        <v>290</v>
      </c>
      <c r="G1197" s="28">
        <v>0</v>
      </c>
      <c r="H1197" s="28">
        <f t="shared" ref="H1197:H1216" si="138">F1197*AO1197</f>
        <v>0</v>
      </c>
      <c r="I1197" s="28">
        <f t="shared" ref="I1197:I1216" si="139">F1197*AP1197</f>
        <v>0</v>
      </c>
      <c r="J1197" s="28">
        <f t="shared" ref="J1197:J1216" si="140">F1197*G1197</f>
        <v>0</v>
      </c>
      <c r="K1197" s="29" t="s">
        <v>61</v>
      </c>
      <c r="Z1197" s="28">
        <f t="shared" ref="Z1197:Z1216" si="141">IF(AQ1197="5",BJ1197,0)</f>
        <v>0</v>
      </c>
      <c r="AB1197" s="28">
        <f t="shared" ref="AB1197:AB1216" si="142">IF(AQ1197="1",BH1197,0)</f>
        <v>0</v>
      </c>
      <c r="AC1197" s="28">
        <f t="shared" ref="AC1197:AC1216" si="143">IF(AQ1197="1",BI1197,0)</f>
        <v>0</v>
      </c>
      <c r="AD1197" s="28">
        <f t="shared" ref="AD1197:AD1216" si="144">IF(AQ1197="7",BH1197,0)</f>
        <v>0</v>
      </c>
      <c r="AE1197" s="28">
        <f t="shared" ref="AE1197:AE1216" si="145">IF(AQ1197="7",BI1197,0)</f>
        <v>0</v>
      </c>
      <c r="AF1197" s="28">
        <f t="shared" ref="AF1197:AF1216" si="146">IF(AQ1197="2",BH1197,0)</f>
        <v>0</v>
      </c>
      <c r="AG1197" s="28">
        <f t="shared" ref="AG1197:AG1216" si="147">IF(AQ1197="2",BI1197,0)</f>
        <v>0</v>
      </c>
      <c r="AH1197" s="28">
        <f t="shared" ref="AH1197:AH1216" si="148">IF(AQ1197="0",BJ1197,0)</f>
        <v>0</v>
      </c>
      <c r="AI1197" s="10" t="s">
        <v>2024</v>
      </c>
      <c r="AJ1197" s="28">
        <f t="shared" ref="AJ1197:AJ1216" si="149">IF(AN1197=0,J1197,0)</f>
        <v>0</v>
      </c>
      <c r="AK1197" s="28">
        <f t="shared" ref="AK1197:AK1216" si="150">IF(AN1197=12,J1197,0)</f>
        <v>0</v>
      </c>
      <c r="AL1197" s="28">
        <f t="shared" ref="AL1197:AL1216" si="151">IF(AN1197=21,J1197,0)</f>
        <v>0</v>
      </c>
      <c r="AN1197" s="28">
        <v>21</v>
      </c>
      <c r="AO1197" s="28">
        <f>G1197*0.666666667</f>
        <v>0</v>
      </c>
      <c r="AP1197" s="28">
        <f>G1197*(1-0.666666667)</f>
        <v>0</v>
      </c>
      <c r="AQ1197" s="30" t="s">
        <v>68</v>
      </c>
      <c r="AV1197" s="28">
        <f t="shared" ref="AV1197:AV1216" si="152">AW1197+AX1197</f>
        <v>0</v>
      </c>
      <c r="AW1197" s="28">
        <f t="shared" ref="AW1197:AW1216" si="153">F1197*AO1197</f>
        <v>0</v>
      </c>
      <c r="AX1197" s="28">
        <f t="shared" ref="AX1197:AX1216" si="154">F1197*AP1197</f>
        <v>0</v>
      </c>
      <c r="AY1197" s="30" t="s">
        <v>2239</v>
      </c>
      <c r="AZ1197" s="30" t="s">
        <v>2123</v>
      </c>
      <c r="BA1197" s="10" t="s">
        <v>2029</v>
      </c>
      <c r="BC1197" s="28">
        <f t="shared" ref="BC1197:BC1216" si="155">AW1197+AX1197</f>
        <v>0</v>
      </c>
      <c r="BD1197" s="28">
        <f t="shared" ref="BD1197:BD1216" si="156">G1197/(100-BE1197)*100</f>
        <v>0</v>
      </c>
      <c r="BE1197" s="28">
        <v>0</v>
      </c>
      <c r="BF1197" s="28">
        <f>1197</f>
        <v>1197</v>
      </c>
      <c r="BH1197" s="28">
        <f t="shared" ref="BH1197:BH1216" si="157">F1197*AO1197</f>
        <v>0</v>
      </c>
      <c r="BI1197" s="28">
        <f t="shared" ref="BI1197:BI1216" si="158">F1197*AP1197</f>
        <v>0</v>
      </c>
      <c r="BJ1197" s="28">
        <f t="shared" ref="BJ1197:BJ1216" si="159">F1197*G1197</f>
        <v>0</v>
      </c>
      <c r="BK1197" s="28"/>
      <c r="BL1197" s="28"/>
      <c r="BW1197" s="28">
        <v>21</v>
      </c>
    </row>
    <row r="1198" spans="1:75" ht="13.5" customHeight="1" x14ac:dyDescent="0.25">
      <c r="A1198" s="2" t="s">
        <v>677</v>
      </c>
      <c r="B1198" s="3" t="s">
        <v>2240</v>
      </c>
      <c r="C1198" s="83" t="s">
        <v>2241</v>
      </c>
      <c r="D1198" s="80"/>
      <c r="E1198" s="3" t="s">
        <v>78</v>
      </c>
      <c r="F1198" s="28">
        <v>100</v>
      </c>
      <c r="G1198" s="28">
        <v>0</v>
      </c>
      <c r="H1198" s="28">
        <f t="shared" si="138"/>
        <v>0</v>
      </c>
      <c r="I1198" s="28">
        <f t="shared" si="139"/>
        <v>0</v>
      </c>
      <c r="J1198" s="28">
        <f t="shared" si="140"/>
        <v>0</v>
      </c>
      <c r="K1198" s="29" t="s">
        <v>1491</v>
      </c>
      <c r="Z1198" s="28">
        <f t="shared" si="141"/>
        <v>0</v>
      </c>
      <c r="AB1198" s="28">
        <f t="shared" si="142"/>
        <v>0</v>
      </c>
      <c r="AC1198" s="28">
        <f t="shared" si="143"/>
        <v>0</v>
      </c>
      <c r="AD1198" s="28">
        <f t="shared" si="144"/>
        <v>0</v>
      </c>
      <c r="AE1198" s="28">
        <f t="shared" si="145"/>
        <v>0</v>
      </c>
      <c r="AF1198" s="28">
        <f t="shared" si="146"/>
        <v>0</v>
      </c>
      <c r="AG1198" s="28">
        <f t="shared" si="147"/>
        <v>0</v>
      </c>
      <c r="AH1198" s="28">
        <f t="shared" si="148"/>
        <v>0</v>
      </c>
      <c r="AI1198" s="10" t="s">
        <v>2024</v>
      </c>
      <c r="AJ1198" s="28">
        <f t="shared" si="149"/>
        <v>0</v>
      </c>
      <c r="AK1198" s="28">
        <f t="shared" si="150"/>
        <v>0</v>
      </c>
      <c r="AL1198" s="28">
        <f t="shared" si="151"/>
        <v>0</v>
      </c>
      <c r="AN1198" s="28">
        <v>21</v>
      </c>
      <c r="AO1198" s="28">
        <f>G1198*0.5</f>
        <v>0</v>
      </c>
      <c r="AP1198" s="28">
        <f>G1198*(1-0.5)</f>
        <v>0</v>
      </c>
      <c r="AQ1198" s="30" t="s">
        <v>68</v>
      </c>
      <c r="AV1198" s="28">
        <f t="shared" si="152"/>
        <v>0</v>
      </c>
      <c r="AW1198" s="28">
        <f t="shared" si="153"/>
        <v>0</v>
      </c>
      <c r="AX1198" s="28">
        <f t="shared" si="154"/>
        <v>0</v>
      </c>
      <c r="AY1198" s="30" t="s">
        <v>2239</v>
      </c>
      <c r="AZ1198" s="30" t="s">
        <v>2123</v>
      </c>
      <c r="BA1198" s="10" t="s">
        <v>2029</v>
      </c>
      <c r="BC1198" s="28">
        <f t="shared" si="155"/>
        <v>0</v>
      </c>
      <c r="BD1198" s="28">
        <f t="shared" si="156"/>
        <v>0</v>
      </c>
      <c r="BE1198" s="28">
        <v>0</v>
      </c>
      <c r="BF1198" s="28">
        <f>1198</f>
        <v>1198</v>
      </c>
      <c r="BH1198" s="28">
        <f t="shared" si="157"/>
        <v>0</v>
      </c>
      <c r="BI1198" s="28">
        <f t="shared" si="158"/>
        <v>0</v>
      </c>
      <c r="BJ1198" s="28">
        <f t="shared" si="159"/>
        <v>0</v>
      </c>
      <c r="BK1198" s="28"/>
      <c r="BL1198" s="28"/>
      <c r="BW1198" s="28">
        <v>21</v>
      </c>
    </row>
    <row r="1199" spans="1:75" ht="13.5" customHeight="1" x14ac:dyDescent="0.25">
      <c r="A1199" s="2" t="s">
        <v>2242</v>
      </c>
      <c r="B1199" s="3" t="s">
        <v>2243</v>
      </c>
      <c r="C1199" s="83" t="s">
        <v>2244</v>
      </c>
      <c r="D1199" s="80"/>
      <c r="E1199" s="3" t="s">
        <v>78</v>
      </c>
      <c r="F1199" s="28">
        <v>30</v>
      </c>
      <c r="G1199" s="28">
        <v>0</v>
      </c>
      <c r="H1199" s="28">
        <f t="shared" si="138"/>
        <v>0</v>
      </c>
      <c r="I1199" s="28">
        <f t="shared" si="139"/>
        <v>0</v>
      </c>
      <c r="J1199" s="28">
        <f t="shared" si="140"/>
        <v>0</v>
      </c>
      <c r="K1199" s="29" t="s">
        <v>1491</v>
      </c>
      <c r="Z1199" s="28">
        <f t="shared" si="141"/>
        <v>0</v>
      </c>
      <c r="AB1199" s="28">
        <f t="shared" si="142"/>
        <v>0</v>
      </c>
      <c r="AC1199" s="28">
        <f t="shared" si="143"/>
        <v>0</v>
      </c>
      <c r="AD1199" s="28">
        <f t="shared" si="144"/>
        <v>0</v>
      </c>
      <c r="AE1199" s="28">
        <f t="shared" si="145"/>
        <v>0</v>
      </c>
      <c r="AF1199" s="28">
        <f t="shared" si="146"/>
        <v>0</v>
      </c>
      <c r="AG1199" s="28">
        <f t="shared" si="147"/>
        <v>0</v>
      </c>
      <c r="AH1199" s="28">
        <f t="shared" si="148"/>
        <v>0</v>
      </c>
      <c r="AI1199" s="10" t="s">
        <v>2024</v>
      </c>
      <c r="AJ1199" s="28">
        <f t="shared" si="149"/>
        <v>0</v>
      </c>
      <c r="AK1199" s="28">
        <f t="shared" si="150"/>
        <v>0</v>
      </c>
      <c r="AL1199" s="28">
        <f t="shared" si="151"/>
        <v>0</v>
      </c>
      <c r="AN1199" s="28">
        <v>21</v>
      </c>
      <c r="AO1199" s="28">
        <f>G1199*0.840764331</f>
        <v>0</v>
      </c>
      <c r="AP1199" s="28">
        <f>G1199*(1-0.840764331)</f>
        <v>0</v>
      </c>
      <c r="AQ1199" s="30" t="s">
        <v>68</v>
      </c>
      <c r="AV1199" s="28">
        <f t="shared" si="152"/>
        <v>0</v>
      </c>
      <c r="AW1199" s="28">
        <f t="shared" si="153"/>
        <v>0</v>
      </c>
      <c r="AX1199" s="28">
        <f t="shared" si="154"/>
        <v>0</v>
      </c>
      <c r="AY1199" s="30" t="s">
        <v>2239</v>
      </c>
      <c r="AZ1199" s="30" t="s">
        <v>2123</v>
      </c>
      <c r="BA1199" s="10" t="s">
        <v>2029</v>
      </c>
      <c r="BC1199" s="28">
        <f t="shared" si="155"/>
        <v>0</v>
      </c>
      <c r="BD1199" s="28">
        <f t="shared" si="156"/>
        <v>0</v>
      </c>
      <c r="BE1199" s="28">
        <v>0</v>
      </c>
      <c r="BF1199" s="28">
        <f>1199</f>
        <v>1199</v>
      </c>
      <c r="BH1199" s="28">
        <f t="shared" si="157"/>
        <v>0</v>
      </c>
      <c r="BI1199" s="28">
        <f t="shared" si="158"/>
        <v>0</v>
      </c>
      <c r="BJ1199" s="28">
        <f t="shared" si="159"/>
        <v>0</v>
      </c>
      <c r="BK1199" s="28"/>
      <c r="BL1199" s="28"/>
      <c r="BW1199" s="28">
        <v>21</v>
      </c>
    </row>
    <row r="1200" spans="1:75" ht="13.5" customHeight="1" x14ac:dyDescent="0.25">
      <c r="A1200" s="2" t="s">
        <v>2245</v>
      </c>
      <c r="B1200" s="3" t="s">
        <v>2243</v>
      </c>
      <c r="C1200" s="83" t="s">
        <v>2246</v>
      </c>
      <c r="D1200" s="80"/>
      <c r="E1200" s="3" t="s">
        <v>78</v>
      </c>
      <c r="F1200" s="28">
        <v>135</v>
      </c>
      <c r="G1200" s="28">
        <v>0</v>
      </c>
      <c r="H1200" s="28">
        <f t="shared" si="138"/>
        <v>0</v>
      </c>
      <c r="I1200" s="28">
        <f t="shared" si="139"/>
        <v>0</v>
      </c>
      <c r="J1200" s="28">
        <f t="shared" si="140"/>
        <v>0</v>
      </c>
      <c r="K1200" s="29" t="s">
        <v>1491</v>
      </c>
      <c r="Z1200" s="28">
        <f t="shared" si="141"/>
        <v>0</v>
      </c>
      <c r="AB1200" s="28">
        <f t="shared" si="142"/>
        <v>0</v>
      </c>
      <c r="AC1200" s="28">
        <f t="shared" si="143"/>
        <v>0</v>
      </c>
      <c r="AD1200" s="28">
        <f t="shared" si="144"/>
        <v>0</v>
      </c>
      <c r="AE1200" s="28">
        <f t="shared" si="145"/>
        <v>0</v>
      </c>
      <c r="AF1200" s="28">
        <f t="shared" si="146"/>
        <v>0</v>
      </c>
      <c r="AG1200" s="28">
        <f t="shared" si="147"/>
        <v>0</v>
      </c>
      <c r="AH1200" s="28">
        <f t="shared" si="148"/>
        <v>0</v>
      </c>
      <c r="AI1200" s="10" t="s">
        <v>2024</v>
      </c>
      <c r="AJ1200" s="28">
        <f t="shared" si="149"/>
        <v>0</v>
      </c>
      <c r="AK1200" s="28">
        <f t="shared" si="150"/>
        <v>0</v>
      </c>
      <c r="AL1200" s="28">
        <f t="shared" si="151"/>
        <v>0</v>
      </c>
      <c r="AN1200" s="28">
        <v>21</v>
      </c>
      <c r="AO1200" s="28">
        <f>G1200*0.691056911</f>
        <v>0</v>
      </c>
      <c r="AP1200" s="28">
        <f>G1200*(1-0.691056911)</f>
        <v>0</v>
      </c>
      <c r="AQ1200" s="30" t="s">
        <v>68</v>
      </c>
      <c r="AV1200" s="28">
        <f t="shared" si="152"/>
        <v>0</v>
      </c>
      <c r="AW1200" s="28">
        <f t="shared" si="153"/>
        <v>0</v>
      </c>
      <c r="AX1200" s="28">
        <f t="shared" si="154"/>
        <v>0</v>
      </c>
      <c r="AY1200" s="30" t="s">
        <v>2239</v>
      </c>
      <c r="AZ1200" s="30" t="s">
        <v>2123</v>
      </c>
      <c r="BA1200" s="10" t="s">
        <v>2029</v>
      </c>
      <c r="BC1200" s="28">
        <f t="shared" si="155"/>
        <v>0</v>
      </c>
      <c r="BD1200" s="28">
        <f t="shared" si="156"/>
        <v>0</v>
      </c>
      <c r="BE1200" s="28">
        <v>0</v>
      </c>
      <c r="BF1200" s="28">
        <f>1200</f>
        <v>1200</v>
      </c>
      <c r="BH1200" s="28">
        <f t="shared" si="157"/>
        <v>0</v>
      </c>
      <c r="BI1200" s="28">
        <f t="shared" si="158"/>
        <v>0</v>
      </c>
      <c r="BJ1200" s="28">
        <f t="shared" si="159"/>
        <v>0</v>
      </c>
      <c r="BK1200" s="28"/>
      <c r="BL1200" s="28"/>
      <c r="BW1200" s="28">
        <v>21</v>
      </c>
    </row>
    <row r="1201" spans="1:75" ht="13.5" customHeight="1" x14ac:dyDescent="0.25">
      <c r="A1201" s="2" t="s">
        <v>2247</v>
      </c>
      <c r="B1201" s="3" t="s">
        <v>2248</v>
      </c>
      <c r="C1201" s="83" t="s">
        <v>2249</v>
      </c>
      <c r="D1201" s="80"/>
      <c r="E1201" s="3" t="s">
        <v>172</v>
      </c>
      <c r="F1201" s="28">
        <v>52</v>
      </c>
      <c r="G1201" s="28">
        <v>0</v>
      </c>
      <c r="H1201" s="28">
        <f t="shared" si="138"/>
        <v>0</v>
      </c>
      <c r="I1201" s="28">
        <f t="shared" si="139"/>
        <v>0</v>
      </c>
      <c r="J1201" s="28">
        <f t="shared" si="140"/>
        <v>0</v>
      </c>
      <c r="K1201" s="29" t="s">
        <v>61</v>
      </c>
      <c r="Z1201" s="28">
        <f t="shared" si="141"/>
        <v>0</v>
      </c>
      <c r="AB1201" s="28">
        <f t="shared" si="142"/>
        <v>0</v>
      </c>
      <c r="AC1201" s="28">
        <f t="shared" si="143"/>
        <v>0</v>
      </c>
      <c r="AD1201" s="28">
        <f t="shared" si="144"/>
        <v>0</v>
      </c>
      <c r="AE1201" s="28">
        <f t="shared" si="145"/>
        <v>0</v>
      </c>
      <c r="AF1201" s="28">
        <f t="shared" si="146"/>
        <v>0</v>
      </c>
      <c r="AG1201" s="28">
        <f t="shared" si="147"/>
        <v>0</v>
      </c>
      <c r="AH1201" s="28">
        <f t="shared" si="148"/>
        <v>0</v>
      </c>
      <c r="AI1201" s="10" t="s">
        <v>2024</v>
      </c>
      <c r="AJ1201" s="28">
        <f t="shared" si="149"/>
        <v>0</v>
      </c>
      <c r="AK1201" s="28">
        <f t="shared" si="150"/>
        <v>0</v>
      </c>
      <c r="AL1201" s="28">
        <f t="shared" si="151"/>
        <v>0</v>
      </c>
      <c r="AN1201" s="28">
        <v>21</v>
      </c>
      <c r="AO1201" s="28">
        <f>G1201*0.375</f>
        <v>0</v>
      </c>
      <c r="AP1201" s="28">
        <f>G1201*(1-0.375)</f>
        <v>0</v>
      </c>
      <c r="AQ1201" s="30" t="s">
        <v>68</v>
      </c>
      <c r="AV1201" s="28">
        <f t="shared" si="152"/>
        <v>0</v>
      </c>
      <c r="AW1201" s="28">
        <f t="shared" si="153"/>
        <v>0</v>
      </c>
      <c r="AX1201" s="28">
        <f t="shared" si="154"/>
        <v>0</v>
      </c>
      <c r="AY1201" s="30" t="s">
        <v>2239</v>
      </c>
      <c r="AZ1201" s="30" t="s">
        <v>2123</v>
      </c>
      <c r="BA1201" s="10" t="s">
        <v>2029</v>
      </c>
      <c r="BC1201" s="28">
        <f t="shared" si="155"/>
        <v>0</v>
      </c>
      <c r="BD1201" s="28">
        <f t="shared" si="156"/>
        <v>0</v>
      </c>
      <c r="BE1201" s="28">
        <v>0</v>
      </c>
      <c r="BF1201" s="28">
        <f>1201</f>
        <v>1201</v>
      </c>
      <c r="BH1201" s="28">
        <f t="shared" si="157"/>
        <v>0</v>
      </c>
      <c r="BI1201" s="28">
        <f t="shared" si="158"/>
        <v>0</v>
      </c>
      <c r="BJ1201" s="28">
        <f t="shared" si="159"/>
        <v>0</v>
      </c>
      <c r="BK1201" s="28"/>
      <c r="BL1201" s="28"/>
      <c r="BW1201" s="28">
        <v>21</v>
      </c>
    </row>
    <row r="1202" spans="1:75" ht="13.5" customHeight="1" x14ac:dyDescent="0.25">
      <c r="A1202" s="2" t="s">
        <v>2250</v>
      </c>
      <c r="B1202" s="3" t="s">
        <v>2251</v>
      </c>
      <c r="C1202" s="83" t="s">
        <v>2252</v>
      </c>
      <c r="D1202" s="80"/>
      <c r="E1202" s="3" t="s">
        <v>172</v>
      </c>
      <c r="F1202" s="28">
        <v>6</v>
      </c>
      <c r="G1202" s="28">
        <v>0</v>
      </c>
      <c r="H1202" s="28">
        <f t="shared" si="138"/>
        <v>0</v>
      </c>
      <c r="I1202" s="28">
        <f t="shared" si="139"/>
        <v>0</v>
      </c>
      <c r="J1202" s="28">
        <f t="shared" si="140"/>
        <v>0</v>
      </c>
      <c r="K1202" s="29" t="s">
        <v>1491</v>
      </c>
      <c r="Z1202" s="28">
        <f t="shared" si="141"/>
        <v>0</v>
      </c>
      <c r="AB1202" s="28">
        <f t="shared" si="142"/>
        <v>0</v>
      </c>
      <c r="AC1202" s="28">
        <f t="shared" si="143"/>
        <v>0</v>
      </c>
      <c r="AD1202" s="28">
        <f t="shared" si="144"/>
        <v>0</v>
      </c>
      <c r="AE1202" s="28">
        <f t="shared" si="145"/>
        <v>0</v>
      </c>
      <c r="AF1202" s="28">
        <f t="shared" si="146"/>
        <v>0</v>
      </c>
      <c r="AG1202" s="28">
        <f t="shared" si="147"/>
        <v>0</v>
      </c>
      <c r="AH1202" s="28">
        <f t="shared" si="148"/>
        <v>0</v>
      </c>
      <c r="AI1202" s="10" t="s">
        <v>2024</v>
      </c>
      <c r="AJ1202" s="28">
        <f t="shared" si="149"/>
        <v>0</v>
      </c>
      <c r="AK1202" s="28">
        <f t="shared" si="150"/>
        <v>0</v>
      </c>
      <c r="AL1202" s="28">
        <f t="shared" si="151"/>
        <v>0</v>
      </c>
      <c r="AN1202" s="28">
        <v>21</v>
      </c>
      <c r="AO1202" s="28">
        <f>G1202*0.371633752</f>
        <v>0</v>
      </c>
      <c r="AP1202" s="28">
        <f>G1202*(1-0.371633752)</f>
        <v>0</v>
      </c>
      <c r="AQ1202" s="30" t="s">
        <v>68</v>
      </c>
      <c r="AV1202" s="28">
        <f t="shared" si="152"/>
        <v>0</v>
      </c>
      <c r="AW1202" s="28">
        <f t="shared" si="153"/>
        <v>0</v>
      </c>
      <c r="AX1202" s="28">
        <f t="shared" si="154"/>
        <v>0</v>
      </c>
      <c r="AY1202" s="30" t="s">
        <v>2239</v>
      </c>
      <c r="AZ1202" s="30" t="s">
        <v>2123</v>
      </c>
      <c r="BA1202" s="10" t="s">
        <v>2029</v>
      </c>
      <c r="BC1202" s="28">
        <f t="shared" si="155"/>
        <v>0</v>
      </c>
      <c r="BD1202" s="28">
        <f t="shared" si="156"/>
        <v>0</v>
      </c>
      <c r="BE1202" s="28">
        <v>0</v>
      </c>
      <c r="BF1202" s="28">
        <f>1202</f>
        <v>1202</v>
      </c>
      <c r="BH1202" s="28">
        <f t="shared" si="157"/>
        <v>0</v>
      </c>
      <c r="BI1202" s="28">
        <f t="shared" si="158"/>
        <v>0</v>
      </c>
      <c r="BJ1202" s="28">
        <f t="shared" si="159"/>
        <v>0</v>
      </c>
      <c r="BK1202" s="28"/>
      <c r="BL1202" s="28"/>
      <c r="BW1202" s="28">
        <v>21</v>
      </c>
    </row>
    <row r="1203" spans="1:75" ht="13.5" customHeight="1" x14ac:dyDescent="0.25">
      <c r="A1203" s="2" t="s">
        <v>2253</v>
      </c>
      <c r="B1203" s="3" t="s">
        <v>2254</v>
      </c>
      <c r="C1203" s="83" t="s">
        <v>2255</v>
      </c>
      <c r="D1203" s="80"/>
      <c r="E1203" s="3" t="s">
        <v>172</v>
      </c>
      <c r="F1203" s="28">
        <v>4</v>
      </c>
      <c r="G1203" s="28">
        <v>0</v>
      </c>
      <c r="H1203" s="28">
        <f t="shared" si="138"/>
        <v>0</v>
      </c>
      <c r="I1203" s="28">
        <f t="shared" si="139"/>
        <v>0</v>
      </c>
      <c r="J1203" s="28">
        <f t="shared" si="140"/>
        <v>0</v>
      </c>
      <c r="K1203" s="29" t="s">
        <v>1491</v>
      </c>
      <c r="Z1203" s="28">
        <f t="shared" si="141"/>
        <v>0</v>
      </c>
      <c r="AB1203" s="28">
        <f t="shared" si="142"/>
        <v>0</v>
      </c>
      <c r="AC1203" s="28">
        <f t="shared" si="143"/>
        <v>0</v>
      </c>
      <c r="AD1203" s="28">
        <f t="shared" si="144"/>
        <v>0</v>
      </c>
      <c r="AE1203" s="28">
        <f t="shared" si="145"/>
        <v>0</v>
      </c>
      <c r="AF1203" s="28">
        <f t="shared" si="146"/>
        <v>0</v>
      </c>
      <c r="AG1203" s="28">
        <f t="shared" si="147"/>
        <v>0</v>
      </c>
      <c r="AH1203" s="28">
        <f t="shared" si="148"/>
        <v>0</v>
      </c>
      <c r="AI1203" s="10" t="s">
        <v>2024</v>
      </c>
      <c r="AJ1203" s="28">
        <f t="shared" si="149"/>
        <v>0</v>
      </c>
      <c r="AK1203" s="28">
        <f t="shared" si="150"/>
        <v>0</v>
      </c>
      <c r="AL1203" s="28">
        <f t="shared" si="151"/>
        <v>0</v>
      </c>
      <c r="AN1203" s="28">
        <v>21</v>
      </c>
      <c r="AO1203" s="28">
        <f>G1203*0.43273906</f>
        <v>0</v>
      </c>
      <c r="AP1203" s="28">
        <f>G1203*(1-0.43273906)</f>
        <v>0</v>
      </c>
      <c r="AQ1203" s="30" t="s">
        <v>68</v>
      </c>
      <c r="AV1203" s="28">
        <f t="shared" si="152"/>
        <v>0</v>
      </c>
      <c r="AW1203" s="28">
        <f t="shared" si="153"/>
        <v>0</v>
      </c>
      <c r="AX1203" s="28">
        <f t="shared" si="154"/>
        <v>0</v>
      </c>
      <c r="AY1203" s="30" t="s">
        <v>2239</v>
      </c>
      <c r="AZ1203" s="30" t="s">
        <v>2123</v>
      </c>
      <c r="BA1203" s="10" t="s">
        <v>2029</v>
      </c>
      <c r="BC1203" s="28">
        <f t="shared" si="155"/>
        <v>0</v>
      </c>
      <c r="BD1203" s="28">
        <f t="shared" si="156"/>
        <v>0</v>
      </c>
      <c r="BE1203" s="28">
        <v>0</v>
      </c>
      <c r="BF1203" s="28">
        <f>1203</f>
        <v>1203</v>
      </c>
      <c r="BH1203" s="28">
        <f t="shared" si="157"/>
        <v>0</v>
      </c>
      <c r="BI1203" s="28">
        <f t="shared" si="158"/>
        <v>0</v>
      </c>
      <c r="BJ1203" s="28">
        <f t="shared" si="159"/>
        <v>0</v>
      </c>
      <c r="BK1203" s="28"/>
      <c r="BL1203" s="28"/>
      <c r="BW1203" s="28">
        <v>21</v>
      </c>
    </row>
    <row r="1204" spans="1:75" ht="13.5" customHeight="1" x14ac:dyDescent="0.25">
      <c r="A1204" s="2" t="s">
        <v>2256</v>
      </c>
      <c r="B1204" s="3" t="s">
        <v>2257</v>
      </c>
      <c r="C1204" s="83" t="s">
        <v>2258</v>
      </c>
      <c r="D1204" s="80"/>
      <c r="E1204" s="3" t="s">
        <v>172</v>
      </c>
      <c r="F1204" s="28">
        <v>10</v>
      </c>
      <c r="G1204" s="28">
        <v>0</v>
      </c>
      <c r="H1204" s="28">
        <f t="shared" si="138"/>
        <v>0</v>
      </c>
      <c r="I1204" s="28">
        <f t="shared" si="139"/>
        <v>0</v>
      </c>
      <c r="J1204" s="28">
        <f t="shared" si="140"/>
        <v>0</v>
      </c>
      <c r="K1204" s="29" t="s">
        <v>1491</v>
      </c>
      <c r="Z1204" s="28">
        <f t="shared" si="141"/>
        <v>0</v>
      </c>
      <c r="AB1204" s="28">
        <f t="shared" si="142"/>
        <v>0</v>
      </c>
      <c r="AC1204" s="28">
        <f t="shared" si="143"/>
        <v>0</v>
      </c>
      <c r="AD1204" s="28">
        <f t="shared" si="144"/>
        <v>0</v>
      </c>
      <c r="AE1204" s="28">
        <f t="shared" si="145"/>
        <v>0</v>
      </c>
      <c r="AF1204" s="28">
        <f t="shared" si="146"/>
        <v>0</v>
      </c>
      <c r="AG1204" s="28">
        <f t="shared" si="147"/>
        <v>0</v>
      </c>
      <c r="AH1204" s="28">
        <f t="shared" si="148"/>
        <v>0</v>
      </c>
      <c r="AI1204" s="10" t="s">
        <v>2024</v>
      </c>
      <c r="AJ1204" s="28">
        <f t="shared" si="149"/>
        <v>0</v>
      </c>
      <c r="AK1204" s="28">
        <f t="shared" si="150"/>
        <v>0</v>
      </c>
      <c r="AL1204" s="28">
        <f t="shared" si="151"/>
        <v>0</v>
      </c>
      <c r="AN1204" s="28">
        <v>21</v>
      </c>
      <c r="AO1204" s="28">
        <f>G1204*0.546191248</f>
        <v>0</v>
      </c>
      <c r="AP1204" s="28">
        <f>G1204*(1-0.546191248)</f>
        <v>0</v>
      </c>
      <c r="AQ1204" s="30" t="s">
        <v>68</v>
      </c>
      <c r="AV1204" s="28">
        <f t="shared" si="152"/>
        <v>0</v>
      </c>
      <c r="AW1204" s="28">
        <f t="shared" si="153"/>
        <v>0</v>
      </c>
      <c r="AX1204" s="28">
        <f t="shared" si="154"/>
        <v>0</v>
      </c>
      <c r="AY1204" s="30" t="s">
        <v>2239</v>
      </c>
      <c r="AZ1204" s="30" t="s">
        <v>2123</v>
      </c>
      <c r="BA1204" s="10" t="s">
        <v>2029</v>
      </c>
      <c r="BC1204" s="28">
        <f t="shared" si="155"/>
        <v>0</v>
      </c>
      <c r="BD1204" s="28">
        <f t="shared" si="156"/>
        <v>0</v>
      </c>
      <c r="BE1204" s="28">
        <v>0</v>
      </c>
      <c r="BF1204" s="28">
        <f>1204</f>
        <v>1204</v>
      </c>
      <c r="BH1204" s="28">
        <f t="shared" si="157"/>
        <v>0</v>
      </c>
      <c r="BI1204" s="28">
        <f t="shared" si="158"/>
        <v>0</v>
      </c>
      <c r="BJ1204" s="28">
        <f t="shared" si="159"/>
        <v>0</v>
      </c>
      <c r="BK1204" s="28"/>
      <c r="BL1204" s="28"/>
      <c r="BW1204" s="28">
        <v>21</v>
      </c>
    </row>
    <row r="1205" spans="1:75" ht="13.5" customHeight="1" x14ac:dyDescent="0.25">
      <c r="A1205" s="2" t="s">
        <v>2259</v>
      </c>
      <c r="B1205" s="3" t="s">
        <v>2260</v>
      </c>
      <c r="C1205" s="83" t="s">
        <v>2261</v>
      </c>
      <c r="D1205" s="80"/>
      <c r="E1205" s="3" t="s">
        <v>172</v>
      </c>
      <c r="F1205" s="28">
        <v>290</v>
      </c>
      <c r="G1205" s="28">
        <v>0</v>
      </c>
      <c r="H1205" s="28">
        <f t="shared" si="138"/>
        <v>0</v>
      </c>
      <c r="I1205" s="28">
        <f t="shared" si="139"/>
        <v>0</v>
      </c>
      <c r="J1205" s="28">
        <f t="shared" si="140"/>
        <v>0</v>
      </c>
      <c r="K1205" s="29" t="s">
        <v>61</v>
      </c>
      <c r="Z1205" s="28">
        <f t="shared" si="141"/>
        <v>0</v>
      </c>
      <c r="AB1205" s="28">
        <f t="shared" si="142"/>
        <v>0</v>
      </c>
      <c r="AC1205" s="28">
        <f t="shared" si="143"/>
        <v>0</v>
      </c>
      <c r="AD1205" s="28">
        <f t="shared" si="144"/>
        <v>0</v>
      </c>
      <c r="AE1205" s="28">
        <f t="shared" si="145"/>
        <v>0</v>
      </c>
      <c r="AF1205" s="28">
        <f t="shared" si="146"/>
        <v>0</v>
      </c>
      <c r="AG1205" s="28">
        <f t="shared" si="147"/>
        <v>0</v>
      </c>
      <c r="AH1205" s="28">
        <f t="shared" si="148"/>
        <v>0</v>
      </c>
      <c r="AI1205" s="10" t="s">
        <v>2024</v>
      </c>
      <c r="AJ1205" s="28">
        <f t="shared" si="149"/>
        <v>0</v>
      </c>
      <c r="AK1205" s="28">
        <f t="shared" si="150"/>
        <v>0</v>
      </c>
      <c r="AL1205" s="28">
        <f t="shared" si="151"/>
        <v>0</v>
      </c>
      <c r="AN1205" s="28">
        <v>21</v>
      </c>
      <c r="AO1205" s="28">
        <f>G1205*0.529411765</f>
        <v>0</v>
      </c>
      <c r="AP1205" s="28">
        <f>G1205*(1-0.529411765)</f>
        <v>0</v>
      </c>
      <c r="AQ1205" s="30" t="s">
        <v>68</v>
      </c>
      <c r="AV1205" s="28">
        <f t="shared" si="152"/>
        <v>0</v>
      </c>
      <c r="AW1205" s="28">
        <f t="shared" si="153"/>
        <v>0</v>
      </c>
      <c r="AX1205" s="28">
        <f t="shared" si="154"/>
        <v>0</v>
      </c>
      <c r="AY1205" s="30" t="s">
        <v>2239</v>
      </c>
      <c r="AZ1205" s="30" t="s">
        <v>2123</v>
      </c>
      <c r="BA1205" s="10" t="s">
        <v>2029</v>
      </c>
      <c r="BC1205" s="28">
        <f t="shared" si="155"/>
        <v>0</v>
      </c>
      <c r="BD1205" s="28">
        <f t="shared" si="156"/>
        <v>0</v>
      </c>
      <c r="BE1205" s="28">
        <v>0</v>
      </c>
      <c r="BF1205" s="28">
        <f>1205</f>
        <v>1205</v>
      </c>
      <c r="BH1205" s="28">
        <f t="shared" si="157"/>
        <v>0</v>
      </c>
      <c r="BI1205" s="28">
        <f t="shared" si="158"/>
        <v>0</v>
      </c>
      <c r="BJ1205" s="28">
        <f t="shared" si="159"/>
        <v>0</v>
      </c>
      <c r="BK1205" s="28"/>
      <c r="BL1205" s="28"/>
      <c r="BW1205" s="28">
        <v>21</v>
      </c>
    </row>
    <row r="1206" spans="1:75" ht="13.5" customHeight="1" x14ac:dyDescent="0.25">
      <c r="A1206" s="2" t="s">
        <v>2262</v>
      </c>
      <c r="B1206" s="3" t="s">
        <v>2263</v>
      </c>
      <c r="C1206" s="83" t="s">
        <v>2264</v>
      </c>
      <c r="D1206" s="80"/>
      <c r="E1206" s="3" t="s">
        <v>172</v>
      </c>
      <c r="F1206" s="28">
        <v>4</v>
      </c>
      <c r="G1206" s="28">
        <v>0</v>
      </c>
      <c r="H1206" s="28">
        <f t="shared" si="138"/>
        <v>0</v>
      </c>
      <c r="I1206" s="28">
        <f t="shared" si="139"/>
        <v>0</v>
      </c>
      <c r="J1206" s="28">
        <f t="shared" si="140"/>
        <v>0</v>
      </c>
      <c r="K1206" s="29" t="s">
        <v>1491</v>
      </c>
      <c r="Z1206" s="28">
        <f t="shared" si="141"/>
        <v>0</v>
      </c>
      <c r="AB1206" s="28">
        <f t="shared" si="142"/>
        <v>0</v>
      </c>
      <c r="AC1206" s="28">
        <f t="shared" si="143"/>
        <v>0</v>
      </c>
      <c r="AD1206" s="28">
        <f t="shared" si="144"/>
        <v>0</v>
      </c>
      <c r="AE1206" s="28">
        <f t="shared" si="145"/>
        <v>0</v>
      </c>
      <c r="AF1206" s="28">
        <f t="shared" si="146"/>
        <v>0</v>
      </c>
      <c r="AG1206" s="28">
        <f t="shared" si="147"/>
        <v>0</v>
      </c>
      <c r="AH1206" s="28">
        <f t="shared" si="148"/>
        <v>0</v>
      </c>
      <c r="AI1206" s="10" t="s">
        <v>2024</v>
      </c>
      <c r="AJ1206" s="28">
        <f t="shared" si="149"/>
        <v>0</v>
      </c>
      <c r="AK1206" s="28">
        <f t="shared" si="150"/>
        <v>0</v>
      </c>
      <c r="AL1206" s="28">
        <f t="shared" si="151"/>
        <v>0</v>
      </c>
      <c r="AN1206" s="28">
        <v>21</v>
      </c>
      <c r="AO1206" s="28">
        <f>G1206*0.622641509</f>
        <v>0</v>
      </c>
      <c r="AP1206" s="28">
        <f>G1206*(1-0.622641509)</f>
        <v>0</v>
      </c>
      <c r="AQ1206" s="30" t="s">
        <v>68</v>
      </c>
      <c r="AV1206" s="28">
        <f t="shared" si="152"/>
        <v>0</v>
      </c>
      <c r="AW1206" s="28">
        <f t="shared" si="153"/>
        <v>0</v>
      </c>
      <c r="AX1206" s="28">
        <f t="shared" si="154"/>
        <v>0</v>
      </c>
      <c r="AY1206" s="30" t="s">
        <v>2239</v>
      </c>
      <c r="AZ1206" s="30" t="s">
        <v>2123</v>
      </c>
      <c r="BA1206" s="10" t="s">
        <v>2029</v>
      </c>
      <c r="BC1206" s="28">
        <f t="shared" si="155"/>
        <v>0</v>
      </c>
      <c r="BD1206" s="28">
        <f t="shared" si="156"/>
        <v>0</v>
      </c>
      <c r="BE1206" s="28">
        <v>0</v>
      </c>
      <c r="BF1206" s="28">
        <f>1206</f>
        <v>1206</v>
      </c>
      <c r="BH1206" s="28">
        <f t="shared" si="157"/>
        <v>0</v>
      </c>
      <c r="BI1206" s="28">
        <f t="shared" si="158"/>
        <v>0</v>
      </c>
      <c r="BJ1206" s="28">
        <f t="shared" si="159"/>
        <v>0</v>
      </c>
      <c r="BK1206" s="28"/>
      <c r="BL1206" s="28"/>
      <c r="BW1206" s="28">
        <v>21</v>
      </c>
    </row>
    <row r="1207" spans="1:75" ht="13.5" customHeight="1" x14ac:dyDescent="0.25">
      <c r="A1207" s="2" t="s">
        <v>2265</v>
      </c>
      <c r="B1207" s="3" t="s">
        <v>2266</v>
      </c>
      <c r="C1207" s="83" t="s">
        <v>2267</v>
      </c>
      <c r="D1207" s="80"/>
      <c r="E1207" s="3" t="s">
        <v>172</v>
      </c>
      <c r="F1207" s="28">
        <v>4</v>
      </c>
      <c r="G1207" s="28">
        <v>0</v>
      </c>
      <c r="H1207" s="28">
        <f t="shared" si="138"/>
        <v>0</v>
      </c>
      <c r="I1207" s="28">
        <f t="shared" si="139"/>
        <v>0</v>
      </c>
      <c r="J1207" s="28">
        <f t="shared" si="140"/>
        <v>0</v>
      </c>
      <c r="K1207" s="29" t="s">
        <v>1491</v>
      </c>
      <c r="Z1207" s="28">
        <f t="shared" si="141"/>
        <v>0</v>
      </c>
      <c r="AB1207" s="28">
        <f t="shared" si="142"/>
        <v>0</v>
      </c>
      <c r="AC1207" s="28">
        <f t="shared" si="143"/>
        <v>0</v>
      </c>
      <c r="AD1207" s="28">
        <f t="shared" si="144"/>
        <v>0</v>
      </c>
      <c r="AE1207" s="28">
        <f t="shared" si="145"/>
        <v>0</v>
      </c>
      <c r="AF1207" s="28">
        <f t="shared" si="146"/>
        <v>0</v>
      </c>
      <c r="AG1207" s="28">
        <f t="shared" si="147"/>
        <v>0</v>
      </c>
      <c r="AH1207" s="28">
        <f t="shared" si="148"/>
        <v>0</v>
      </c>
      <c r="AI1207" s="10" t="s">
        <v>2024</v>
      </c>
      <c r="AJ1207" s="28">
        <f t="shared" si="149"/>
        <v>0</v>
      </c>
      <c r="AK1207" s="28">
        <f t="shared" si="150"/>
        <v>0</v>
      </c>
      <c r="AL1207" s="28">
        <f t="shared" si="151"/>
        <v>0</v>
      </c>
      <c r="AN1207" s="28">
        <v>21</v>
      </c>
      <c r="AO1207" s="28">
        <f>G1207*0.75</f>
        <v>0</v>
      </c>
      <c r="AP1207" s="28">
        <f>G1207*(1-0.75)</f>
        <v>0</v>
      </c>
      <c r="AQ1207" s="30" t="s">
        <v>68</v>
      </c>
      <c r="AV1207" s="28">
        <f t="shared" si="152"/>
        <v>0</v>
      </c>
      <c r="AW1207" s="28">
        <f t="shared" si="153"/>
        <v>0</v>
      </c>
      <c r="AX1207" s="28">
        <f t="shared" si="154"/>
        <v>0</v>
      </c>
      <c r="AY1207" s="30" t="s">
        <v>2239</v>
      </c>
      <c r="AZ1207" s="30" t="s">
        <v>2123</v>
      </c>
      <c r="BA1207" s="10" t="s">
        <v>2029</v>
      </c>
      <c r="BC1207" s="28">
        <f t="shared" si="155"/>
        <v>0</v>
      </c>
      <c r="BD1207" s="28">
        <f t="shared" si="156"/>
        <v>0</v>
      </c>
      <c r="BE1207" s="28">
        <v>0</v>
      </c>
      <c r="BF1207" s="28">
        <f>1207</f>
        <v>1207</v>
      </c>
      <c r="BH1207" s="28">
        <f t="shared" si="157"/>
        <v>0</v>
      </c>
      <c r="BI1207" s="28">
        <f t="shared" si="158"/>
        <v>0</v>
      </c>
      <c r="BJ1207" s="28">
        <f t="shared" si="159"/>
        <v>0</v>
      </c>
      <c r="BK1207" s="28"/>
      <c r="BL1207" s="28"/>
      <c r="BW1207" s="28">
        <v>21</v>
      </c>
    </row>
    <row r="1208" spans="1:75" ht="13.5" customHeight="1" x14ac:dyDescent="0.25">
      <c r="A1208" s="2" t="s">
        <v>2268</v>
      </c>
      <c r="B1208" s="3" t="s">
        <v>2269</v>
      </c>
      <c r="C1208" s="83" t="s">
        <v>2270</v>
      </c>
      <c r="D1208" s="80"/>
      <c r="E1208" s="3" t="s">
        <v>172</v>
      </c>
      <c r="F1208" s="28">
        <v>70</v>
      </c>
      <c r="G1208" s="28">
        <v>0</v>
      </c>
      <c r="H1208" s="28">
        <f t="shared" si="138"/>
        <v>0</v>
      </c>
      <c r="I1208" s="28">
        <f t="shared" si="139"/>
        <v>0</v>
      </c>
      <c r="J1208" s="28">
        <f t="shared" si="140"/>
        <v>0</v>
      </c>
      <c r="K1208" s="29" t="s">
        <v>1491</v>
      </c>
      <c r="Z1208" s="28">
        <f t="shared" si="141"/>
        <v>0</v>
      </c>
      <c r="AB1208" s="28">
        <f t="shared" si="142"/>
        <v>0</v>
      </c>
      <c r="AC1208" s="28">
        <f t="shared" si="143"/>
        <v>0</v>
      </c>
      <c r="AD1208" s="28">
        <f t="shared" si="144"/>
        <v>0</v>
      </c>
      <c r="AE1208" s="28">
        <f t="shared" si="145"/>
        <v>0</v>
      </c>
      <c r="AF1208" s="28">
        <f t="shared" si="146"/>
        <v>0</v>
      </c>
      <c r="AG1208" s="28">
        <f t="shared" si="147"/>
        <v>0</v>
      </c>
      <c r="AH1208" s="28">
        <f t="shared" si="148"/>
        <v>0</v>
      </c>
      <c r="AI1208" s="10" t="s">
        <v>2024</v>
      </c>
      <c r="AJ1208" s="28">
        <f t="shared" si="149"/>
        <v>0</v>
      </c>
      <c r="AK1208" s="28">
        <f t="shared" si="150"/>
        <v>0</v>
      </c>
      <c r="AL1208" s="28">
        <f t="shared" si="151"/>
        <v>0</v>
      </c>
      <c r="AN1208" s="28">
        <v>21</v>
      </c>
      <c r="AO1208" s="28">
        <f>G1208*0.5</f>
        <v>0</v>
      </c>
      <c r="AP1208" s="28">
        <f>G1208*(1-0.5)</f>
        <v>0</v>
      </c>
      <c r="AQ1208" s="30" t="s">
        <v>68</v>
      </c>
      <c r="AV1208" s="28">
        <f t="shared" si="152"/>
        <v>0</v>
      </c>
      <c r="AW1208" s="28">
        <f t="shared" si="153"/>
        <v>0</v>
      </c>
      <c r="AX1208" s="28">
        <f t="shared" si="154"/>
        <v>0</v>
      </c>
      <c r="AY1208" s="30" t="s">
        <v>2239</v>
      </c>
      <c r="AZ1208" s="30" t="s">
        <v>2123</v>
      </c>
      <c r="BA1208" s="10" t="s">
        <v>2029</v>
      </c>
      <c r="BC1208" s="28">
        <f t="shared" si="155"/>
        <v>0</v>
      </c>
      <c r="BD1208" s="28">
        <f t="shared" si="156"/>
        <v>0</v>
      </c>
      <c r="BE1208" s="28">
        <v>0</v>
      </c>
      <c r="BF1208" s="28">
        <f>1208</f>
        <v>1208</v>
      </c>
      <c r="BH1208" s="28">
        <f t="shared" si="157"/>
        <v>0</v>
      </c>
      <c r="BI1208" s="28">
        <f t="shared" si="158"/>
        <v>0</v>
      </c>
      <c r="BJ1208" s="28">
        <f t="shared" si="159"/>
        <v>0</v>
      </c>
      <c r="BK1208" s="28"/>
      <c r="BL1208" s="28"/>
      <c r="BW1208" s="28">
        <v>21</v>
      </c>
    </row>
    <row r="1209" spans="1:75" ht="13.5" customHeight="1" x14ac:dyDescent="0.25">
      <c r="A1209" s="2" t="s">
        <v>2271</v>
      </c>
      <c r="B1209" s="3" t="s">
        <v>2272</v>
      </c>
      <c r="C1209" s="83" t="s">
        <v>2273</v>
      </c>
      <c r="D1209" s="80"/>
      <c r="E1209" s="3" t="s">
        <v>172</v>
      </c>
      <c r="F1209" s="28">
        <v>80</v>
      </c>
      <c r="G1209" s="28">
        <v>0</v>
      </c>
      <c r="H1209" s="28">
        <f t="shared" si="138"/>
        <v>0</v>
      </c>
      <c r="I1209" s="28">
        <f t="shared" si="139"/>
        <v>0</v>
      </c>
      <c r="J1209" s="28">
        <f t="shared" si="140"/>
        <v>0</v>
      </c>
      <c r="K1209" s="29" t="s">
        <v>61</v>
      </c>
      <c r="Z1209" s="28">
        <f t="shared" si="141"/>
        <v>0</v>
      </c>
      <c r="AB1209" s="28">
        <f t="shared" si="142"/>
        <v>0</v>
      </c>
      <c r="AC1209" s="28">
        <f t="shared" si="143"/>
        <v>0</v>
      </c>
      <c r="AD1209" s="28">
        <f t="shared" si="144"/>
        <v>0</v>
      </c>
      <c r="AE1209" s="28">
        <f t="shared" si="145"/>
        <v>0</v>
      </c>
      <c r="AF1209" s="28">
        <f t="shared" si="146"/>
        <v>0</v>
      </c>
      <c r="AG1209" s="28">
        <f t="shared" si="147"/>
        <v>0</v>
      </c>
      <c r="AH1209" s="28">
        <f t="shared" si="148"/>
        <v>0</v>
      </c>
      <c r="AI1209" s="10" t="s">
        <v>2024</v>
      </c>
      <c r="AJ1209" s="28">
        <f t="shared" si="149"/>
        <v>0</v>
      </c>
      <c r="AK1209" s="28">
        <f t="shared" si="150"/>
        <v>0</v>
      </c>
      <c r="AL1209" s="28">
        <f t="shared" si="151"/>
        <v>0</v>
      </c>
      <c r="AN1209" s="28">
        <v>21</v>
      </c>
      <c r="AO1209" s="28">
        <f>G1209*0.375</f>
        <v>0</v>
      </c>
      <c r="AP1209" s="28">
        <f>G1209*(1-0.375)</f>
        <v>0</v>
      </c>
      <c r="AQ1209" s="30" t="s">
        <v>68</v>
      </c>
      <c r="AV1209" s="28">
        <f t="shared" si="152"/>
        <v>0</v>
      </c>
      <c r="AW1209" s="28">
        <f t="shared" si="153"/>
        <v>0</v>
      </c>
      <c r="AX1209" s="28">
        <f t="shared" si="154"/>
        <v>0</v>
      </c>
      <c r="AY1209" s="30" t="s">
        <v>2239</v>
      </c>
      <c r="AZ1209" s="30" t="s">
        <v>2123</v>
      </c>
      <c r="BA1209" s="10" t="s">
        <v>2029</v>
      </c>
      <c r="BC1209" s="28">
        <f t="shared" si="155"/>
        <v>0</v>
      </c>
      <c r="BD1209" s="28">
        <f t="shared" si="156"/>
        <v>0</v>
      </c>
      <c r="BE1209" s="28">
        <v>0</v>
      </c>
      <c r="BF1209" s="28">
        <f>1209</f>
        <v>1209</v>
      </c>
      <c r="BH1209" s="28">
        <f t="shared" si="157"/>
        <v>0</v>
      </c>
      <c r="BI1209" s="28">
        <f t="shared" si="158"/>
        <v>0</v>
      </c>
      <c r="BJ1209" s="28">
        <f t="shared" si="159"/>
        <v>0</v>
      </c>
      <c r="BK1209" s="28"/>
      <c r="BL1209" s="28"/>
      <c r="BW1209" s="28">
        <v>21</v>
      </c>
    </row>
    <row r="1210" spans="1:75" ht="13.5" customHeight="1" x14ac:dyDescent="0.25">
      <c r="A1210" s="2" t="s">
        <v>2274</v>
      </c>
      <c r="B1210" s="3" t="s">
        <v>2275</v>
      </c>
      <c r="C1210" s="83" t="s">
        <v>2276</v>
      </c>
      <c r="D1210" s="80"/>
      <c r="E1210" s="3" t="s">
        <v>172</v>
      </c>
      <c r="F1210" s="28">
        <v>60</v>
      </c>
      <c r="G1210" s="28">
        <v>0</v>
      </c>
      <c r="H1210" s="28">
        <f t="shared" si="138"/>
        <v>0</v>
      </c>
      <c r="I1210" s="28">
        <f t="shared" si="139"/>
        <v>0</v>
      </c>
      <c r="J1210" s="28">
        <f t="shared" si="140"/>
        <v>0</v>
      </c>
      <c r="K1210" s="29" t="s">
        <v>1491</v>
      </c>
      <c r="Z1210" s="28">
        <f t="shared" si="141"/>
        <v>0</v>
      </c>
      <c r="AB1210" s="28">
        <f t="shared" si="142"/>
        <v>0</v>
      </c>
      <c r="AC1210" s="28">
        <f t="shared" si="143"/>
        <v>0</v>
      </c>
      <c r="AD1210" s="28">
        <f t="shared" si="144"/>
        <v>0</v>
      </c>
      <c r="AE1210" s="28">
        <f t="shared" si="145"/>
        <v>0</v>
      </c>
      <c r="AF1210" s="28">
        <f t="shared" si="146"/>
        <v>0</v>
      </c>
      <c r="AG1210" s="28">
        <f t="shared" si="147"/>
        <v>0</v>
      </c>
      <c r="AH1210" s="28">
        <f t="shared" si="148"/>
        <v>0</v>
      </c>
      <c r="AI1210" s="10" t="s">
        <v>2024</v>
      </c>
      <c r="AJ1210" s="28">
        <f t="shared" si="149"/>
        <v>0</v>
      </c>
      <c r="AK1210" s="28">
        <f t="shared" si="150"/>
        <v>0</v>
      </c>
      <c r="AL1210" s="28">
        <f t="shared" si="151"/>
        <v>0</v>
      </c>
      <c r="AN1210" s="28">
        <v>21</v>
      </c>
      <c r="AO1210" s="28">
        <f>G1210*0.425837321</f>
        <v>0</v>
      </c>
      <c r="AP1210" s="28">
        <f>G1210*(1-0.425837321)</f>
        <v>0</v>
      </c>
      <c r="AQ1210" s="30" t="s">
        <v>68</v>
      </c>
      <c r="AV1210" s="28">
        <f t="shared" si="152"/>
        <v>0</v>
      </c>
      <c r="AW1210" s="28">
        <f t="shared" si="153"/>
        <v>0</v>
      </c>
      <c r="AX1210" s="28">
        <f t="shared" si="154"/>
        <v>0</v>
      </c>
      <c r="AY1210" s="30" t="s">
        <v>2239</v>
      </c>
      <c r="AZ1210" s="30" t="s">
        <v>2123</v>
      </c>
      <c r="BA1210" s="10" t="s">
        <v>2029</v>
      </c>
      <c r="BC1210" s="28">
        <f t="shared" si="155"/>
        <v>0</v>
      </c>
      <c r="BD1210" s="28">
        <f t="shared" si="156"/>
        <v>0</v>
      </c>
      <c r="BE1210" s="28">
        <v>0</v>
      </c>
      <c r="BF1210" s="28">
        <f>1210</f>
        <v>1210</v>
      </c>
      <c r="BH1210" s="28">
        <f t="shared" si="157"/>
        <v>0</v>
      </c>
      <c r="BI1210" s="28">
        <f t="shared" si="158"/>
        <v>0</v>
      </c>
      <c r="BJ1210" s="28">
        <f t="shared" si="159"/>
        <v>0</v>
      </c>
      <c r="BK1210" s="28"/>
      <c r="BL1210" s="28"/>
      <c r="BW1210" s="28">
        <v>21</v>
      </c>
    </row>
    <row r="1211" spans="1:75" ht="13.5" customHeight="1" x14ac:dyDescent="0.25">
      <c r="A1211" s="2" t="s">
        <v>2277</v>
      </c>
      <c r="B1211" s="3" t="s">
        <v>2278</v>
      </c>
      <c r="C1211" s="83" t="s">
        <v>2279</v>
      </c>
      <c r="D1211" s="80"/>
      <c r="E1211" s="3" t="s">
        <v>172</v>
      </c>
      <c r="F1211" s="28">
        <v>1</v>
      </c>
      <c r="G1211" s="28">
        <v>0</v>
      </c>
      <c r="H1211" s="28">
        <f t="shared" si="138"/>
        <v>0</v>
      </c>
      <c r="I1211" s="28">
        <f t="shared" si="139"/>
        <v>0</v>
      </c>
      <c r="J1211" s="28">
        <f t="shared" si="140"/>
        <v>0</v>
      </c>
      <c r="K1211" s="29" t="s">
        <v>1491</v>
      </c>
      <c r="Z1211" s="28">
        <f t="shared" si="141"/>
        <v>0</v>
      </c>
      <c r="AB1211" s="28">
        <f t="shared" si="142"/>
        <v>0</v>
      </c>
      <c r="AC1211" s="28">
        <f t="shared" si="143"/>
        <v>0</v>
      </c>
      <c r="AD1211" s="28">
        <f t="shared" si="144"/>
        <v>0</v>
      </c>
      <c r="AE1211" s="28">
        <f t="shared" si="145"/>
        <v>0</v>
      </c>
      <c r="AF1211" s="28">
        <f t="shared" si="146"/>
        <v>0</v>
      </c>
      <c r="AG1211" s="28">
        <f t="shared" si="147"/>
        <v>0</v>
      </c>
      <c r="AH1211" s="28">
        <f t="shared" si="148"/>
        <v>0</v>
      </c>
      <c r="AI1211" s="10" t="s">
        <v>2024</v>
      </c>
      <c r="AJ1211" s="28">
        <f t="shared" si="149"/>
        <v>0</v>
      </c>
      <c r="AK1211" s="28">
        <f t="shared" si="150"/>
        <v>0</v>
      </c>
      <c r="AL1211" s="28">
        <f t="shared" si="151"/>
        <v>0</v>
      </c>
      <c r="AN1211" s="28">
        <v>21</v>
      </c>
      <c r="AO1211" s="28">
        <f>G1211*0.637681159</f>
        <v>0</v>
      </c>
      <c r="AP1211" s="28">
        <f>G1211*(1-0.637681159)</f>
        <v>0</v>
      </c>
      <c r="AQ1211" s="30" t="s">
        <v>68</v>
      </c>
      <c r="AV1211" s="28">
        <f t="shared" si="152"/>
        <v>0</v>
      </c>
      <c r="AW1211" s="28">
        <f t="shared" si="153"/>
        <v>0</v>
      </c>
      <c r="AX1211" s="28">
        <f t="shared" si="154"/>
        <v>0</v>
      </c>
      <c r="AY1211" s="30" t="s">
        <v>2239</v>
      </c>
      <c r="AZ1211" s="30" t="s">
        <v>2123</v>
      </c>
      <c r="BA1211" s="10" t="s">
        <v>2029</v>
      </c>
      <c r="BC1211" s="28">
        <f t="shared" si="155"/>
        <v>0</v>
      </c>
      <c r="BD1211" s="28">
        <f t="shared" si="156"/>
        <v>0</v>
      </c>
      <c r="BE1211" s="28">
        <v>0</v>
      </c>
      <c r="BF1211" s="28">
        <f>1211</f>
        <v>1211</v>
      </c>
      <c r="BH1211" s="28">
        <f t="shared" si="157"/>
        <v>0</v>
      </c>
      <c r="BI1211" s="28">
        <f t="shared" si="158"/>
        <v>0</v>
      </c>
      <c r="BJ1211" s="28">
        <f t="shared" si="159"/>
        <v>0</v>
      </c>
      <c r="BK1211" s="28"/>
      <c r="BL1211" s="28"/>
      <c r="BW1211" s="28">
        <v>21</v>
      </c>
    </row>
    <row r="1212" spans="1:75" ht="13.5" customHeight="1" x14ac:dyDescent="0.25">
      <c r="A1212" s="2" t="s">
        <v>2280</v>
      </c>
      <c r="B1212" s="3" t="s">
        <v>2281</v>
      </c>
      <c r="C1212" s="83" t="s">
        <v>2282</v>
      </c>
      <c r="D1212" s="80"/>
      <c r="E1212" s="3" t="s">
        <v>172</v>
      </c>
      <c r="F1212" s="28">
        <v>1</v>
      </c>
      <c r="G1212" s="28">
        <v>0</v>
      </c>
      <c r="H1212" s="28">
        <f t="shared" si="138"/>
        <v>0</v>
      </c>
      <c r="I1212" s="28">
        <f t="shared" si="139"/>
        <v>0</v>
      </c>
      <c r="J1212" s="28">
        <f t="shared" si="140"/>
        <v>0</v>
      </c>
      <c r="K1212" s="29" t="s">
        <v>1491</v>
      </c>
      <c r="Z1212" s="28">
        <f t="shared" si="141"/>
        <v>0</v>
      </c>
      <c r="AB1212" s="28">
        <f t="shared" si="142"/>
        <v>0</v>
      </c>
      <c r="AC1212" s="28">
        <f t="shared" si="143"/>
        <v>0</v>
      </c>
      <c r="AD1212" s="28">
        <f t="shared" si="144"/>
        <v>0</v>
      </c>
      <c r="AE1212" s="28">
        <f t="shared" si="145"/>
        <v>0</v>
      </c>
      <c r="AF1212" s="28">
        <f t="shared" si="146"/>
        <v>0</v>
      </c>
      <c r="AG1212" s="28">
        <f t="shared" si="147"/>
        <v>0</v>
      </c>
      <c r="AH1212" s="28">
        <f t="shared" si="148"/>
        <v>0</v>
      </c>
      <c r="AI1212" s="10" t="s">
        <v>2024</v>
      </c>
      <c r="AJ1212" s="28">
        <f t="shared" si="149"/>
        <v>0</v>
      </c>
      <c r="AK1212" s="28">
        <f t="shared" si="150"/>
        <v>0</v>
      </c>
      <c r="AL1212" s="28">
        <f t="shared" si="151"/>
        <v>0</v>
      </c>
      <c r="AN1212" s="28">
        <v>21</v>
      </c>
      <c r="AO1212" s="28">
        <f>G1212*0.711538462</f>
        <v>0</v>
      </c>
      <c r="AP1212" s="28">
        <f>G1212*(1-0.711538462)</f>
        <v>0</v>
      </c>
      <c r="AQ1212" s="30" t="s">
        <v>68</v>
      </c>
      <c r="AV1212" s="28">
        <f t="shared" si="152"/>
        <v>0</v>
      </c>
      <c r="AW1212" s="28">
        <f t="shared" si="153"/>
        <v>0</v>
      </c>
      <c r="AX1212" s="28">
        <f t="shared" si="154"/>
        <v>0</v>
      </c>
      <c r="AY1212" s="30" t="s">
        <v>2239</v>
      </c>
      <c r="AZ1212" s="30" t="s">
        <v>2123</v>
      </c>
      <c r="BA1212" s="10" t="s">
        <v>2029</v>
      </c>
      <c r="BC1212" s="28">
        <f t="shared" si="155"/>
        <v>0</v>
      </c>
      <c r="BD1212" s="28">
        <f t="shared" si="156"/>
        <v>0</v>
      </c>
      <c r="BE1212" s="28">
        <v>0</v>
      </c>
      <c r="BF1212" s="28">
        <f>1212</f>
        <v>1212</v>
      </c>
      <c r="BH1212" s="28">
        <f t="shared" si="157"/>
        <v>0</v>
      </c>
      <c r="BI1212" s="28">
        <f t="shared" si="158"/>
        <v>0</v>
      </c>
      <c r="BJ1212" s="28">
        <f t="shared" si="159"/>
        <v>0</v>
      </c>
      <c r="BK1212" s="28"/>
      <c r="BL1212" s="28"/>
      <c r="BW1212" s="28">
        <v>21</v>
      </c>
    </row>
    <row r="1213" spans="1:75" ht="13.5" customHeight="1" x14ac:dyDescent="0.25">
      <c r="A1213" s="2" t="s">
        <v>2283</v>
      </c>
      <c r="B1213" s="3" t="s">
        <v>2272</v>
      </c>
      <c r="C1213" s="83" t="s">
        <v>2284</v>
      </c>
      <c r="D1213" s="80"/>
      <c r="E1213" s="3" t="s">
        <v>172</v>
      </c>
      <c r="F1213" s="28">
        <v>4</v>
      </c>
      <c r="G1213" s="28">
        <v>0</v>
      </c>
      <c r="H1213" s="28">
        <f t="shared" si="138"/>
        <v>0</v>
      </c>
      <c r="I1213" s="28">
        <f t="shared" si="139"/>
        <v>0</v>
      </c>
      <c r="J1213" s="28">
        <f t="shared" si="140"/>
        <v>0</v>
      </c>
      <c r="K1213" s="29" t="s">
        <v>61</v>
      </c>
      <c r="Z1213" s="28">
        <f t="shared" si="141"/>
        <v>0</v>
      </c>
      <c r="AB1213" s="28">
        <f t="shared" si="142"/>
        <v>0</v>
      </c>
      <c r="AC1213" s="28">
        <f t="shared" si="143"/>
        <v>0</v>
      </c>
      <c r="AD1213" s="28">
        <f t="shared" si="144"/>
        <v>0</v>
      </c>
      <c r="AE1213" s="28">
        <f t="shared" si="145"/>
        <v>0</v>
      </c>
      <c r="AF1213" s="28">
        <f t="shared" si="146"/>
        <v>0</v>
      </c>
      <c r="AG1213" s="28">
        <f t="shared" si="147"/>
        <v>0</v>
      </c>
      <c r="AH1213" s="28">
        <f t="shared" si="148"/>
        <v>0</v>
      </c>
      <c r="AI1213" s="10" t="s">
        <v>2024</v>
      </c>
      <c r="AJ1213" s="28">
        <f t="shared" si="149"/>
        <v>0</v>
      </c>
      <c r="AK1213" s="28">
        <f t="shared" si="150"/>
        <v>0</v>
      </c>
      <c r="AL1213" s="28">
        <f t="shared" si="151"/>
        <v>0</v>
      </c>
      <c r="AN1213" s="28">
        <v>21</v>
      </c>
      <c r="AO1213" s="28">
        <f>G1213*0.2</f>
        <v>0</v>
      </c>
      <c r="AP1213" s="28">
        <f>G1213*(1-0.2)</f>
        <v>0</v>
      </c>
      <c r="AQ1213" s="30" t="s">
        <v>68</v>
      </c>
      <c r="AV1213" s="28">
        <f t="shared" si="152"/>
        <v>0</v>
      </c>
      <c r="AW1213" s="28">
        <f t="shared" si="153"/>
        <v>0</v>
      </c>
      <c r="AX1213" s="28">
        <f t="shared" si="154"/>
        <v>0</v>
      </c>
      <c r="AY1213" s="30" t="s">
        <v>2239</v>
      </c>
      <c r="AZ1213" s="30" t="s">
        <v>2123</v>
      </c>
      <c r="BA1213" s="10" t="s">
        <v>2029</v>
      </c>
      <c r="BC1213" s="28">
        <f t="shared" si="155"/>
        <v>0</v>
      </c>
      <c r="BD1213" s="28">
        <f t="shared" si="156"/>
        <v>0</v>
      </c>
      <c r="BE1213" s="28">
        <v>0</v>
      </c>
      <c r="BF1213" s="28">
        <f>1213</f>
        <v>1213</v>
      </c>
      <c r="BH1213" s="28">
        <f t="shared" si="157"/>
        <v>0</v>
      </c>
      <c r="BI1213" s="28">
        <f t="shared" si="158"/>
        <v>0</v>
      </c>
      <c r="BJ1213" s="28">
        <f t="shared" si="159"/>
        <v>0</v>
      </c>
      <c r="BK1213" s="28"/>
      <c r="BL1213" s="28"/>
      <c r="BW1213" s="28">
        <v>21</v>
      </c>
    </row>
    <row r="1214" spans="1:75" ht="13.5" customHeight="1" x14ac:dyDescent="0.25">
      <c r="A1214" s="2" t="s">
        <v>2285</v>
      </c>
      <c r="B1214" s="3" t="s">
        <v>2286</v>
      </c>
      <c r="C1214" s="83" t="s">
        <v>2105</v>
      </c>
      <c r="D1214" s="80"/>
      <c r="E1214" s="3" t="s">
        <v>172</v>
      </c>
      <c r="F1214" s="28">
        <v>1</v>
      </c>
      <c r="G1214" s="28">
        <v>0</v>
      </c>
      <c r="H1214" s="28">
        <f t="shared" si="138"/>
        <v>0</v>
      </c>
      <c r="I1214" s="28">
        <f t="shared" si="139"/>
        <v>0</v>
      </c>
      <c r="J1214" s="28">
        <f t="shared" si="140"/>
        <v>0</v>
      </c>
      <c r="K1214" s="29" t="s">
        <v>1491</v>
      </c>
      <c r="Z1214" s="28">
        <f t="shared" si="141"/>
        <v>0</v>
      </c>
      <c r="AB1214" s="28">
        <f t="shared" si="142"/>
        <v>0</v>
      </c>
      <c r="AC1214" s="28">
        <f t="shared" si="143"/>
        <v>0</v>
      </c>
      <c r="AD1214" s="28">
        <f t="shared" si="144"/>
        <v>0</v>
      </c>
      <c r="AE1214" s="28">
        <f t="shared" si="145"/>
        <v>0</v>
      </c>
      <c r="AF1214" s="28">
        <f t="shared" si="146"/>
        <v>0</v>
      </c>
      <c r="AG1214" s="28">
        <f t="shared" si="147"/>
        <v>0</v>
      </c>
      <c r="AH1214" s="28">
        <f t="shared" si="148"/>
        <v>0</v>
      </c>
      <c r="AI1214" s="10" t="s">
        <v>2024</v>
      </c>
      <c r="AJ1214" s="28">
        <f t="shared" si="149"/>
        <v>0</v>
      </c>
      <c r="AK1214" s="28">
        <f t="shared" si="150"/>
        <v>0</v>
      </c>
      <c r="AL1214" s="28">
        <f t="shared" si="151"/>
        <v>0</v>
      </c>
      <c r="AN1214" s="28">
        <v>21</v>
      </c>
      <c r="AO1214" s="28">
        <f>G1214*0.5</f>
        <v>0</v>
      </c>
      <c r="AP1214" s="28">
        <f>G1214*(1-0.5)</f>
        <v>0</v>
      </c>
      <c r="AQ1214" s="30" t="s">
        <v>68</v>
      </c>
      <c r="AV1214" s="28">
        <f t="shared" si="152"/>
        <v>0</v>
      </c>
      <c r="AW1214" s="28">
        <f t="shared" si="153"/>
        <v>0</v>
      </c>
      <c r="AX1214" s="28">
        <f t="shared" si="154"/>
        <v>0</v>
      </c>
      <c r="AY1214" s="30" t="s">
        <v>2239</v>
      </c>
      <c r="AZ1214" s="30" t="s">
        <v>2123</v>
      </c>
      <c r="BA1214" s="10" t="s">
        <v>2029</v>
      </c>
      <c r="BC1214" s="28">
        <f t="shared" si="155"/>
        <v>0</v>
      </c>
      <c r="BD1214" s="28">
        <f t="shared" si="156"/>
        <v>0</v>
      </c>
      <c r="BE1214" s="28">
        <v>0</v>
      </c>
      <c r="BF1214" s="28">
        <f>1214</f>
        <v>1214</v>
      </c>
      <c r="BH1214" s="28">
        <f t="shared" si="157"/>
        <v>0</v>
      </c>
      <c r="BI1214" s="28">
        <f t="shared" si="158"/>
        <v>0</v>
      </c>
      <c r="BJ1214" s="28">
        <f t="shared" si="159"/>
        <v>0</v>
      </c>
      <c r="BK1214" s="28"/>
      <c r="BL1214" s="28"/>
      <c r="BW1214" s="28">
        <v>21</v>
      </c>
    </row>
    <row r="1215" spans="1:75" ht="27" customHeight="1" x14ac:dyDescent="0.25">
      <c r="A1215" s="2" t="s">
        <v>2287</v>
      </c>
      <c r="B1215" s="3" t="s">
        <v>2288</v>
      </c>
      <c r="C1215" s="83" t="s">
        <v>2289</v>
      </c>
      <c r="D1215" s="80"/>
      <c r="E1215" s="3" t="s">
        <v>531</v>
      </c>
      <c r="F1215" s="28">
        <v>1</v>
      </c>
      <c r="G1215" s="28">
        <v>0</v>
      </c>
      <c r="H1215" s="28">
        <f t="shared" si="138"/>
        <v>0</v>
      </c>
      <c r="I1215" s="28">
        <f t="shared" si="139"/>
        <v>0</v>
      </c>
      <c r="J1215" s="28">
        <f t="shared" si="140"/>
        <v>0</v>
      </c>
      <c r="K1215" s="29" t="s">
        <v>1491</v>
      </c>
      <c r="Z1215" s="28">
        <f t="shared" si="141"/>
        <v>0</v>
      </c>
      <c r="AB1215" s="28">
        <f t="shared" si="142"/>
        <v>0</v>
      </c>
      <c r="AC1215" s="28">
        <f t="shared" si="143"/>
        <v>0</v>
      </c>
      <c r="AD1215" s="28">
        <f t="shared" si="144"/>
        <v>0</v>
      </c>
      <c r="AE1215" s="28">
        <f t="shared" si="145"/>
        <v>0</v>
      </c>
      <c r="AF1215" s="28">
        <f t="shared" si="146"/>
        <v>0</v>
      </c>
      <c r="AG1215" s="28">
        <f t="shared" si="147"/>
        <v>0</v>
      </c>
      <c r="AH1215" s="28">
        <f t="shared" si="148"/>
        <v>0</v>
      </c>
      <c r="AI1215" s="10" t="s">
        <v>2024</v>
      </c>
      <c r="AJ1215" s="28">
        <f t="shared" si="149"/>
        <v>0</v>
      </c>
      <c r="AK1215" s="28">
        <f t="shared" si="150"/>
        <v>0</v>
      </c>
      <c r="AL1215" s="28">
        <f t="shared" si="151"/>
        <v>0</v>
      </c>
      <c r="AN1215" s="28">
        <v>21</v>
      </c>
      <c r="AO1215" s="28">
        <f>G1215*0.111111111</f>
        <v>0</v>
      </c>
      <c r="AP1215" s="28">
        <f>G1215*(1-0.111111111)</f>
        <v>0</v>
      </c>
      <c r="AQ1215" s="30" t="s">
        <v>68</v>
      </c>
      <c r="AV1215" s="28">
        <f t="shared" si="152"/>
        <v>0</v>
      </c>
      <c r="AW1215" s="28">
        <f t="shared" si="153"/>
        <v>0</v>
      </c>
      <c r="AX1215" s="28">
        <f t="shared" si="154"/>
        <v>0</v>
      </c>
      <c r="AY1215" s="30" t="s">
        <v>2239</v>
      </c>
      <c r="AZ1215" s="30" t="s">
        <v>2123</v>
      </c>
      <c r="BA1215" s="10" t="s">
        <v>2029</v>
      </c>
      <c r="BC1215" s="28">
        <f t="shared" si="155"/>
        <v>0</v>
      </c>
      <c r="BD1215" s="28">
        <f t="shared" si="156"/>
        <v>0</v>
      </c>
      <c r="BE1215" s="28">
        <v>0</v>
      </c>
      <c r="BF1215" s="28">
        <f>1215</f>
        <v>1215</v>
      </c>
      <c r="BH1215" s="28">
        <f t="shared" si="157"/>
        <v>0</v>
      </c>
      <c r="BI1215" s="28">
        <f t="shared" si="158"/>
        <v>0</v>
      </c>
      <c r="BJ1215" s="28">
        <f t="shared" si="159"/>
        <v>0</v>
      </c>
      <c r="BK1215" s="28"/>
      <c r="BL1215" s="28"/>
      <c r="BW1215" s="28">
        <v>21</v>
      </c>
    </row>
    <row r="1216" spans="1:75" ht="13.5" customHeight="1" x14ac:dyDescent="0.25">
      <c r="A1216" s="2" t="s">
        <v>2290</v>
      </c>
      <c r="B1216" s="3" t="s">
        <v>2291</v>
      </c>
      <c r="C1216" s="83" t="s">
        <v>2292</v>
      </c>
      <c r="D1216" s="80"/>
      <c r="E1216" s="3" t="s">
        <v>531</v>
      </c>
      <c r="F1216" s="28">
        <v>1</v>
      </c>
      <c r="G1216" s="28">
        <v>0</v>
      </c>
      <c r="H1216" s="28">
        <f t="shared" si="138"/>
        <v>0</v>
      </c>
      <c r="I1216" s="28">
        <f t="shared" si="139"/>
        <v>0</v>
      </c>
      <c r="J1216" s="28">
        <f t="shared" si="140"/>
        <v>0</v>
      </c>
      <c r="K1216" s="29" t="s">
        <v>1491</v>
      </c>
      <c r="Z1216" s="28">
        <f t="shared" si="141"/>
        <v>0</v>
      </c>
      <c r="AB1216" s="28">
        <f t="shared" si="142"/>
        <v>0</v>
      </c>
      <c r="AC1216" s="28">
        <f t="shared" si="143"/>
        <v>0</v>
      </c>
      <c r="AD1216" s="28">
        <f t="shared" si="144"/>
        <v>0</v>
      </c>
      <c r="AE1216" s="28">
        <f t="shared" si="145"/>
        <v>0</v>
      </c>
      <c r="AF1216" s="28">
        <f t="shared" si="146"/>
        <v>0</v>
      </c>
      <c r="AG1216" s="28">
        <f t="shared" si="147"/>
        <v>0</v>
      </c>
      <c r="AH1216" s="28">
        <f t="shared" si="148"/>
        <v>0</v>
      </c>
      <c r="AI1216" s="10" t="s">
        <v>2024</v>
      </c>
      <c r="AJ1216" s="28">
        <f t="shared" si="149"/>
        <v>0</v>
      </c>
      <c r="AK1216" s="28">
        <f t="shared" si="150"/>
        <v>0</v>
      </c>
      <c r="AL1216" s="28">
        <f t="shared" si="151"/>
        <v>0</v>
      </c>
      <c r="AN1216" s="28">
        <v>21</v>
      </c>
      <c r="AO1216" s="28">
        <f>G1216*0.131578947</f>
        <v>0</v>
      </c>
      <c r="AP1216" s="28">
        <f>G1216*(1-0.131578947)</f>
        <v>0</v>
      </c>
      <c r="AQ1216" s="30" t="s">
        <v>68</v>
      </c>
      <c r="AV1216" s="28">
        <f t="shared" si="152"/>
        <v>0</v>
      </c>
      <c r="AW1216" s="28">
        <f t="shared" si="153"/>
        <v>0</v>
      </c>
      <c r="AX1216" s="28">
        <f t="shared" si="154"/>
        <v>0</v>
      </c>
      <c r="AY1216" s="30" t="s">
        <v>2239</v>
      </c>
      <c r="AZ1216" s="30" t="s">
        <v>2123</v>
      </c>
      <c r="BA1216" s="10" t="s">
        <v>2029</v>
      </c>
      <c r="BC1216" s="28">
        <f t="shared" si="155"/>
        <v>0</v>
      </c>
      <c r="BD1216" s="28">
        <f t="shared" si="156"/>
        <v>0</v>
      </c>
      <c r="BE1216" s="28">
        <v>0</v>
      </c>
      <c r="BF1216" s="28">
        <f>1216</f>
        <v>1216</v>
      </c>
      <c r="BH1216" s="28">
        <f t="shared" si="157"/>
        <v>0</v>
      </c>
      <c r="BI1216" s="28">
        <f t="shared" si="158"/>
        <v>0</v>
      </c>
      <c r="BJ1216" s="28">
        <f t="shared" si="159"/>
        <v>0</v>
      </c>
      <c r="BK1216" s="28"/>
      <c r="BL1216" s="28"/>
      <c r="BW1216" s="28">
        <v>21</v>
      </c>
    </row>
    <row r="1217" spans="1:75" x14ac:dyDescent="0.25">
      <c r="A1217" s="24" t="s">
        <v>52</v>
      </c>
      <c r="B1217" s="25" t="s">
        <v>2293</v>
      </c>
      <c r="C1217" s="139" t="s">
        <v>1598</v>
      </c>
      <c r="D1217" s="140"/>
      <c r="E1217" s="26" t="s">
        <v>4</v>
      </c>
      <c r="F1217" s="26" t="s">
        <v>4</v>
      </c>
      <c r="G1217" s="26" t="s">
        <v>4</v>
      </c>
      <c r="H1217" s="1">
        <f>SUM(H1218:H1223)</f>
        <v>0</v>
      </c>
      <c r="I1217" s="1">
        <f>SUM(I1218:I1223)</f>
        <v>0</v>
      </c>
      <c r="J1217" s="1">
        <f>SUM(J1218:J1223)</f>
        <v>0</v>
      </c>
      <c r="K1217" s="27" t="s">
        <v>52</v>
      </c>
      <c r="AI1217" s="10" t="s">
        <v>2024</v>
      </c>
      <c r="AS1217" s="1">
        <f>SUM(AJ1218:AJ1223)</f>
        <v>0</v>
      </c>
      <c r="AT1217" s="1">
        <f>SUM(AK1218:AK1223)</f>
        <v>0</v>
      </c>
      <c r="AU1217" s="1">
        <f>SUM(AL1218:AL1223)</f>
        <v>0</v>
      </c>
    </row>
    <row r="1218" spans="1:75" ht="13.5" customHeight="1" x14ac:dyDescent="0.25">
      <c r="A1218" s="2" t="s">
        <v>1074</v>
      </c>
      <c r="B1218" s="3" t="s">
        <v>2294</v>
      </c>
      <c r="C1218" s="83" t="s">
        <v>2295</v>
      </c>
      <c r="D1218" s="80"/>
      <c r="E1218" s="3" t="s">
        <v>137</v>
      </c>
      <c r="F1218" s="28">
        <v>4</v>
      </c>
      <c r="G1218" s="28">
        <v>0</v>
      </c>
      <c r="H1218" s="28">
        <f t="shared" ref="H1218:H1223" si="160">F1218*AO1218</f>
        <v>0</v>
      </c>
      <c r="I1218" s="28">
        <f t="shared" ref="I1218:I1223" si="161">F1218*AP1218</f>
        <v>0</v>
      </c>
      <c r="J1218" s="28">
        <f t="shared" ref="J1218:J1223" si="162">F1218*G1218</f>
        <v>0</v>
      </c>
      <c r="K1218" s="29" t="s">
        <v>61</v>
      </c>
      <c r="Z1218" s="28">
        <f t="shared" ref="Z1218:Z1223" si="163">IF(AQ1218="5",BJ1218,0)</f>
        <v>0</v>
      </c>
      <c r="AB1218" s="28">
        <f t="shared" ref="AB1218:AB1223" si="164">IF(AQ1218="1",BH1218,0)</f>
        <v>0</v>
      </c>
      <c r="AC1218" s="28">
        <f t="shared" ref="AC1218:AC1223" si="165">IF(AQ1218="1",BI1218,0)</f>
        <v>0</v>
      </c>
      <c r="AD1218" s="28">
        <f t="shared" ref="AD1218:AD1223" si="166">IF(AQ1218="7",BH1218,0)</f>
        <v>0</v>
      </c>
      <c r="AE1218" s="28">
        <f t="shared" ref="AE1218:AE1223" si="167">IF(AQ1218="7",BI1218,0)</f>
        <v>0</v>
      </c>
      <c r="AF1218" s="28">
        <f t="shared" ref="AF1218:AF1223" si="168">IF(AQ1218="2",BH1218,0)</f>
        <v>0</v>
      </c>
      <c r="AG1218" s="28">
        <f t="shared" ref="AG1218:AG1223" si="169">IF(AQ1218="2",BI1218,0)</f>
        <v>0</v>
      </c>
      <c r="AH1218" s="28">
        <f t="shared" ref="AH1218:AH1223" si="170">IF(AQ1218="0",BJ1218,0)</f>
        <v>0</v>
      </c>
      <c r="AI1218" s="10" t="s">
        <v>2024</v>
      </c>
      <c r="AJ1218" s="28">
        <f t="shared" ref="AJ1218:AJ1223" si="171">IF(AN1218=0,J1218,0)</f>
        <v>0</v>
      </c>
      <c r="AK1218" s="28">
        <f t="shared" ref="AK1218:AK1223" si="172">IF(AN1218=12,J1218,0)</f>
        <v>0</v>
      </c>
      <c r="AL1218" s="28">
        <f t="shared" ref="AL1218:AL1223" si="173">IF(AN1218=21,J1218,0)</f>
        <v>0</v>
      </c>
      <c r="AN1218" s="28">
        <v>21</v>
      </c>
      <c r="AO1218" s="28">
        <f>G1218*0.715447154</f>
        <v>0</v>
      </c>
      <c r="AP1218" s="28">
        <f>G1218*(1-0.715447154)</f>
        <v>0</v>
      </c>
      <c r="AQ1218" s="30" t="s">
        <v>68</v>
      </c>
      <c r="AV1218" s="28">
        <f t="shared" ref="AV1218:AV1223" si="174">AW1218+AX1218</f>
        <v>0</v>
      </c>
      <c r="AW1218" s="28">
        <f t="shared" ref="AW1218:AW1223" si="175">F1218*AO1218</f>
        <v>0</v>
      </c>
      <c r="AX1218" s="28">
        <f t="shared" ref="AX1218:AX1223" si="176">F1218*AP1218</f>
        <v>0</v>
      </c>
      <c r="AY1218" s="30" t="s">
        <v>2296</v>
      </c>
      <c r="AZ1218" s="30" t="s">
        <v>2123</v>
      </c>
      <c r="BA1218" s="10" t="s">
        <v>2029</v>
      </c>
      <c r="BC1218" s="28">
        <f t="shared" ref="BC1218:BC1223" si="177">AW1218+AX1218</f>
        <v>0</v>
      </c>
      <c r="BD1218" s="28">
        <f t="shared" ref="BD1218:BD1223" si="178">G1218/(100-BE1218)*100</f>
        <v>0</v>
      </c>
      <c r="BE1218" s="28">
        <v>0</v>
      </c>
      <c r="BF1218" s="28">
        <f>1218</f>
        <v>1218</v>
      </c>
      <c r="BH1218" s="28">
        <f t="shared" ref="BH1218:BH1223" si="179">F1218*AO1218</f>
        <v>0</v>
      </c>
      <c r="BI1218" s="28">
        <f t="shared" ref="BI1218:BI1223" si="180">F1218*AP1218</f>
        <v>0</v>
      </c>
      <c r="BJ1218" s="28">
        <f t="shared" ref="BJ1218:BJ1223" si="181">F1218*G1218</f>
        <v>0</v>
      </c>
      <c r="BK1218" s="28"/>
      <c r="BL1218" s="28"/>
      <c r="BW1218" s="28">
        <v>21</v>
      </c>
    </row>
    <row r="1219" spans="1:75" ht="13.5" customHeight="1" x14ac:dyDescent="0.25">
      <c r="A1219" s="2" t="s">
        <v>2297</v>
      </c>
      <c r="B1219" s="3" t="s">
        <v>2298</v>
      </c>
      <c r="C1219" s="83" t="s">
        <v>2299</v>
      </c>
      <c r="D1219" s="80"/>
      <c r="E1219" s="3" t="s">
        <v>128</v>
      </c>
      <c r="F1219" s="28">
        <v>1</v>
      </c>
      <c r="G1219" s="28">
        <v>0</v>
      </c>
      <c r="H1219" s="28">
        <f t="shared" si="160"/>
        <v>0</v>
      </c>
      <c r="I1219" s="28">
        <f t="shared" si="161"/>
        <v>0</v>
      </c>
      <c r="J1219" s="28">
        <f t="shared" si="162"/>
        <v>0</v>
      </c>
      <c r="K1219" s="29" t="s">
        <v>61</v>
      </c>
      <c r="Z1219" s="28">
        <f t="shared" si="163"/>
        <v>0</v>
      </c>
      <c r="AB1219" s="28">
        <f t="shared" si="164"/>
        <v>0</v>
      </c>
      <c r="AC1219" s="28">
        <f t="shared" si="165"/>
        <v>0</v>
      </c>
      <c r="AD1219" s="28">
        <f t="shared" si="166"/>
        <v>0</v>
      </c>
      <c r="AE1219" s="28">
        <f t="shared" si="167"/>
        <v>0</v>
      </c>
      <c r="AF1219" s="28">
        <f t="shared" si="168"/>
        <v>0</v>
      </c>
      <c r="AG1219" s="28">
        <f t="shared" si="169"/>
        <v>0</v>
      </c>
      <c r="AH1219" s="28">
        <f t="shared" si="170"/>
        <v>0</v>
      </c>
      <c r="AI1219" s="10" t="s">
        <v>2024</v>
      </c>
      <c r="AJ1219" s="28">
        <f t="shared" si="171"/>
        <v>0</v>
      </c>
      <c r="AK1219" s="28">
        <f t="shared" si="172"/>
        <v>0</v>
      </c>
      <c r="AL1219" s="28">
        <f t="shared" si="173"/>
        <v>0</v>
      </c>
      <c r="AN1219" s="28">
        <v>21</v>
      </c>
      <c r="AO1219" s="28">
        <f>G1219*0</f>
        <v>0</v>
      </c>
      <c r="AP1219" s="28">
        <f>G1219*(1-0)</f>
        <v>0</v>
      </c>
      <c r="AQ1219" s="30" t="s">
        <v>68</v>
      </c>
      <c r="AV1219" s="28">
        <f t="shared" si="174"/>
        <v>0</v>
      </c>
      <c r="AW1219" s="28">
        <f t="shared" si="175"/>
        <v>0</v>
      </c>
      <c r="AX1219" s="28">
        <f t="shared" si="176"/>
        <v>0</v>
      </c>
      <c r="AY1219" s="30" t="s">
        <v>2296</v>
      </c>
      <c r="AZ1219" s="30" t="s">
        <v>2123</v>
      </c>
      <c r="BA1219" s="10" t="s">
        <v>2029</v>
      </c>
      <c r="BC1219" s="28">
        <f t="shared" si="177"/>
        <v>0</v>
      </c>
      <c r="BD1219" s="28">
        <f t="shared" si="178"/>
        <v>0</v>
      </c>
      <c r="BE1219" s="28">
        <v>0</v>
      </c>
      <c r="BF1219" s="28">
        <f>1219</f>
        <v>1219</v>
      </c>
      <c r="BH1219" s="28">
        <f t="shared" si="179"/>
        <v>0</v>
      </c>
      <c r="BI1219" s="28">
        <f t="shared" si="180"/>
        <v>0</v>
      </c>
      <c r="BJ1219" s="28">
        <f t="shared" si="181"/>
        <v>0</v>
      </c>
      <c r="BK1219" s="28"/>
      <c r="BL1219" s="28"/>
      <c r="BW1219" s="28">
        <v>21</v>
      </c>
    </row>
    <row r="1220" spans="1:75" ht="13.5" customHeight="1" x14ac:dyDescent="0.25">
      <c r="A1220" s="2" t="s">
        <v>2300</v>
      </c>
      <c r="B1220" s="3" t="s">
        <v>2301</v>
      </c>
      <c r="C1220" s="83" t="s">
        <v>2302</v>
      </c>
      <c r="D1220" s="80"/>
      <c r="E1220" s="3" t="s">
        <v>128</v>
      </c>
      <c r="F1220" s="28">
        <v>1</v>
      </c>
      <c r="G1220" s="28">
        <v>0</v>
      </c>
      <c r="H1220" s="28">
        <f t="shared" si="160"/>
        <v>0</v>
      </c>
      <c r="I1220" s="28">
        <f t="shared" si="161"/>
        <v>0</v>
      </c>
      <c r="J1220" s="28">
        <f t="shared" si="162"/>
        <v>0</v>
      </c>
      <c r="K1220" s="29" t="s">
        <v>61</v>
      </c>
      <c r="Z1220" s="28">
        <f t="shared" si="163"/>
        <v>0</v>
      </c>
      <c r="AB1220" s="28">
        <f t="shared" si="164"/>
        <v>0</v>
      </c>
      <c r="AC1220" s="28">
        <f t="shared" si="165"/>
        <v>0</v>
      </c>
      <c r="AD1220" s="28">
        <f t="shared" si="166"/>
        <v>0</v>
      </c>
      <c r="AE1220" s="28">
        <f t="shared" si="167"/>
        <v>0</v>
      </c>
      <c r="AF1220" s="28">
        <f t="shared" si="168"/>
        <v>0</v>
      </c>
      <c r="AG1220" s="28">
        <f t="shared" si="169"/>
        <v>0</v>
      </c>
      <c r="AH1220" s="28">
        <f t="shared" si="170"/>
        <v>0</v>
      </c>
      <c r="AI1220" s="10" t="s">
        <v>2024</v>
      </c>
      <c r="AJ1220" s="28">
        <f t="shared" si="171"/>
        <v>0</v>
      </c>
      <c r="AK1220" s="28">
        <f t="shared" si="172"/>
        <v>0</v>
      </c>
      <c r="AL1220" s="28">
        <f t="shared" si="173"/>
        <v>0</v>
      </c>
      <c r="AN1220" s="28">
        <v>21</v>
      </c>
      <c r="AO1220" s="28">
        <f>G1220*0</f>
        <v>0</v>
      </c>
      <c r="AP1220" s="28">
        <f>G1220*(1-0)</f>
        <v>0</v>
      </c>
      <c r="AQ1220" s="30" t="s">
        <v>68</v>
      </c>
      <c r="AV1220" s="28">
        <f t="shared" si="174"/>
        <v>0</v>
      </c>
      <c r="AW1220" s="28">
        <f t="shared" si="175"/>
        <v>0</v>
      </c>
      <c r="AX1220" s="28">
        <f t="shared" si="176"/>
        <v>0</v>
      </c>
      <c r="AY1220" s="30" t="s">
        <v>2296</v>
      </c>
      <c r="AZ1220" s="30" t="s">
        <v>2123</v>
      </c>
      <c r="BA1220" s="10" t="s">
        <v>2029</v>
      </c>
      <c r="BC1220" s="28">
        <f t="shared" si="177"/>
        <v>0</v>
      </c>
      <c r="BD1220" s="28">
        <f t="shared" si="178"/>
        <v>0</v>
      </c>
      <c r="BE1220" s="28">
        <v>0</v>
      </c>
      <c r="BF1220" s="28">
        <f>1220</f>
        <v>1220</v>
      </c>
      <c r="BH1220" s="28">
        <f t="shared" si="179"/>
        <v>0</v>
      </c>
      <c r="BI1220" s="28">
        <f t="shared" si="180"/>
        <v>0</v>
      </c>
      <c r="BJ1220" s="28">
        <f t="shared" si="181"/>
        <v>0</v>
      </c>
      <c r="BK1220" s="28"/>
      <c r="BL1220" s="28"/>
      <c r="BW1220" s="28">
        <v>21</v>
      </c>
    </row>
    <row r="1221" spans="1:75" ht="13.5" customHeight="1" x14ac:dyDescent="0.25">
      <c r="A1221" s="2" t="s">
        <v>2303</v>
      </c>
      <c r="B1221" s="3" t="s">
        <v>2304</v>
      </c>
      <c r="C1221" s="83" t="s">
        <v>2305</v>
      </c>
      <c r="D1221" s="80"/>
      <c r="E1221" s="3" t="s">
        <v>128</v>
      </c>
      <c r="F1221" s="28">
        <v>1</v>
      </c>
      <c r="G1221" s="28">
        <v>0</v>
      </c>
      <c r="H1221" s="28">
        <f t="shared" si="160"/>
        <v>0</v>
      </c>
      <c r="I1221" s="28">
        <f t="shared" si="161"/>
        <v>0</v>
      </c>
      <c r="J1221" s="28">
        <f t="shared" si="162"/>
        <v>0</v>
      </c>
      <c r="K1221" s="29" t="s">
        <v>61</v>
      </c>
      <c r="Z1221" s="28">
        <f t="shared" si="163"/>
        <v>0</v>
      </c>
      <c r="AB1221" s="28">
        <f t="shared" si="164"/>
        <v>0</v>
      </c>
      <c r="AC1221" s="28">
        <f t="shared" si="165"/>
        <v>0</v>
      </c>
      <c r="AD1221" s="28">
        <f t="shared" si="166"/>
        <v>0</v>
      </c>
      <c r="AE1221" s="28">
        <f t="shared" si="167"/>
        <v>0</v>
      </c>
      <c r="AF1221" s="28">
        <f t="shared" si="168"/>
        <v>0</v>
      </c>
      <c r="AG1221" s="28">
        <f t="shared" si="169"/>
        <v>0</v>
      </c>
      <c r="AH1221" s="28">
        <f t="shared" si="170"/>
        <v>0</v>
      </c>
      <c r="AI1221" s="10" t="s">
        <v>2024</v>
      </c>
      <c r="AJ1221" s="28">
        <f t="shared" si="171"/>
        <v>0</v>
      </c>
      <c r="AK1221" s="28">
        <f t="shared" si="172"/>
        <v>0</v>
      </c>
      <c r="AL1221" s="28">
        <f t="shared" si="173"/>
        <v>0</v>
      </c>
      <c r="AN1221" s="28">
        <v>21</v>
      </c>
      <c r="AO1221" s="28">
        <f>G1221*0</f>
        <v>0</v>
      </c>
      <c r="AP1221" s="28">
        <f>G1221*(1-0)</f>
        <v>0</v>
      </c>
      <c r="AQ1221" s="30" t="s">
        <v>68</v>
      </c>
      <c r="AV1221" s="28">
        <f t="shared" si="174"/>
        <v>0</v>
      </c>
      <c r="AW1221" s="28">
        <f t="shared" si="175"/>
        <v>0</v>
      </c>
      <c r="AX1221" s="28">
        <f t="shared" si="176"/>
        <v>0</v>
      </c>
      <c r="AY1221" s="30" t="s">
        <v>2296</v>
      </c>
      <c r="AZ1221" s="30" t="s">
        <v>2123</v>
      </c>
      <c r="BA1221" s="10" t="s">
        <v>2029</v>
      </c>
      <c r="BC1221" s="28">
        <f t="shared" si="177"/>
        <v>0</v>
      </c>
      <c r="BD1221" s="28">
        <f t="shared" si="178"/>
        <v>0</v>
      </c>
      <c r="BE1221" s="28">
        <v>0</v>
      </c>
      <c r="BF1221" s="28">
        <f>1221</f>
        <v>1221</v>
      </c>
      <c r="BH1221" s="28">
        <f t="shared" si="179"/>
        <v>0</v>
      </c>
      <c r="BI1221" s="28">
        <f t="shared" si="180"/>
        <v>0</v>
      </c>
      <c r="BJ1221" s="28">
        <f t="shared" si="181"/>
        <v>0</v>
      </c>
      <c r="BK1221" s="28"/>
      <c r="BL1221" s="28"/>
      <c r="BW1221" s="28">
        <v>21</v>
      </c>
    </row>
    <row r="1222" spans="1:75" ht="13.5" customHeight="1" x14ac:dyDescent="0.25">
      <c r="A1222" s="2" t="s">
        <v>2306</v>
      </c>
      <c r="B1222" s="3" t="s">
        <v>2307</v>
      </c>
      <c r="C1222" s="83" t="s">
        <v>2308</v>
      </c>
      <c r="D1222" s="80"/>
      <c r="E1222" s="3" t="s">
        <v>128</v>
      </c>
      <c r="F1222" s="28">
        <v>1</v>
      </c>
      <c r="G1222" s="28">
        <v>0</v>
      </c>
      <c r="H1222" s="28">
        <f t="shared" si="160"/>
        <v>0</v>
      </c>
      <c r="I1222" s="28">
        <f t="shared" si="161"/>
        <v>0</v>
      </c>
      <c r="J1222" s="28">
        <f t="shared" si="162"/>
        <v>0</v>
      </c>
      <c r="K1222" s="29" t="s">
        <v>61</v>
      </c>
      <c r="Z1222" s="28">
        <f t="shared" si="163"/>
        <v>0</v>
      </c>
      <c r="AB1222" s="28">
        <f t="shared" si="164"/>
        <v>0</v>
      </c>
      <c r="AC1222" s="28">
        <f t="shared" si="165"/>
        <v>0</v>
      </c>
      <c r="AD1222" s="28">
        <f t="shared" si="166"/>
        <v>0</v>
      </c>
      <c r="AE1222" s="28">
        <f t="shared" si="167"/>
        <v>0</v>
      </c>
      <c r="AF1222" s="28">
        <f t="shared" si="168"/>
        <v>0</v>
      </c>
      <c r="AG1222" s="28">
        <f t="shared" si="169"/>
        <v>0</v>
      </c>
      <c r="AH1222" s="28">
        <f t="shared" si="170"/>
        <v>0</v>
      </c>
      <c r="AI1222" s="10" t="s">
        <v>2024</v>
      </c>
      <c r="AJ1222" s="28">
        <f t="shared" si="171"/>
        <v>0</v>
      </c>
      <c r="AK1222" s="28">
        <f t="shared" si="172"/>
        <v>0</v>
      </c>
      <c r="AL1222" s="28">
        <f t="shared" si="173"/>
        <v>0</v>
      </c>
      <c r="AN1222" s="28">
        <v>21</v>
      </c>
      <c r="AO1222" s="28">
        <f>G1222*0.111111111</f>
        <v>0</v>
      </c>
      <c r="AP1222" s="28">
        <f>G1222*(1-0.111111111)</f>
        <v>0</v>
      </c>
      <c r="AQ1222" s="30" t="s">
        <v>68</v>
      </c>
      <c r="AV1222" s="28">
        <f t="shared" si="174"/>
        <v>0</v>
      </c>
      <c r="AW1222" s="28">
        <f t="shared" si="175"/>
        <v>0</v>
      </c>
      <c r="AX1222" s="28">
        <f t="shared" si="176"/>
        <v>0</v>
      </c>
      <c r="AY1222" s="30" t="s">
        <v>2296</v>
      </c>
      <c r="AZ1222" s="30" t="s">
        <v>2123</v>
      </c>
      <c r="BA1222" s="10" t="s">
        <v>2029</v>
      </c>
      <c r="BC1222" s="28">
        <f t="shared" si="177"/>
        <v>0</v>
      </c>
      <c r="BD1222" s="28">
        <f t="shared" si="178"/>
        <v>0</v>
      </c>
      <c r="BE1222" s="28">
        <v>0</v>
      </c>
      <c r="BF1222" s="28">
        <f>1222</f>
        <v>1222</v>
      </c>
      <c r="BH1222" s="28">
        <f t="shared" si="179"/>
        <v>0</v>
      </c>
      <c r="BI1222" s="28">
        <f t="shared" si="180"/>
        <v>0</v>
      </c>
      <c r="BJ1222" s="28">
        <f t="shared" si="181"/>
        <v>0</v>
      </c>
      <c r="BK1222" s="28"/>
      <c r="BL1222" s="28"/>
      <c r="BW1222" s="28">
        <v>21</v>
      </c>
    </row>
    <row r="1223" spans="1:75" ht="13.5" customHeight="1" x14ac:dyDescent="0.25">
      <c r="A1223" s="2" t="s">
        <v>2309</v>
      </c>
      <c r="B1223" s="3" t="s">
        <v>2310</v>
      </c>
      <c r="C1223" s="83" t="s">
        <v>2311</v>
      </c>
      <c r="D1223" s="80"/>
      <c r="E1223" s="3" t="s">
        <v>137</v>
      </c>
      <c r="F1223" s="28">
        <v>1</v>
      </c>
      <c r="G1223" s="28">
        <v>0</v>
      </c>
      <c r="H1223" s="28">
        <f t="shared" si="160"/>
        <v>0</v>
      </c>
      <c r="I1223" s="28">
        <f t="shared" si="161"/>
        <v>0</v>
      </c>
      <c r="J1223" s="28">
        <f t="shared" si="162"/>
        <v>0</v>
      </c>
      <c r="K1223" s="29" t="s">
        <v>61</v>
      </c>
      <c r="Z1223" s="28">
        <f t="shared" si="163"/>
        <v>0</v>
      </c>
      <c r="AB1223" s="28">
        <f t="shared" si="164"/>
        <v>0</v>
      </c>
      <c r="AC1223" s="28">
        <f t="shared" si="165"/>
        <v>0</v>
      </c>
      <c r="AD1223" s="28">
        <f t="shared" si="166"/>
        <v>0</v>
      </c>
      <c r="AE1223" s="28">
        <f t="shared" si="167"/>
        <v>0</v>
      </c>
      <c r="AF1223" s="28">
        <f t="shared" si="168"/>
        <v>0</v>
      </c>
      <c r="AG1223" s="28">
        <f t="shared" si="169"/>
        <v>0</v>
      </c>
      <c r="AH1223" s="28">
        <f t="shared" si="170"/>
        <v>0</v>
      </c>
      <c r="AI1223" s="10" t="s">
        <v>2024</v>
      </c>
      <c r="AJ1223" s="28">
        <f t="shared" si="171"/>
        <v>0</v>
      </c>
      <c r="AK1223" s="28">
        <f t="shared" si="172"/>
        <v>0</v>
      </c>
      <c r="AL1223" s="28">
        <f t="shared" si="173"/>
        <v>0</v>
      </c>
      <c r="AN1223" s="28">
        <v>21</v>
      </c>
      <c r="AO1223" s="28">
        <f>G1223*0.122807018</f>
        <v>0</v>
      </c>
      <c r="AP1223" s="28">
        <f>G1223*(1-0.122807018)</f>
        <v>0</v>
      </c>
      <c r="AQ1223" s="30" t="s">
        <v>68</v>
      </c>
      <c r="AV1223" s="28">
        <f t="shared" si="174"/>
        <v>0</v>
      </c>
      <c r="AW1223" s="28">
        <f t="shared" si="175"/>
        <v>0</v>
      </c>
      <c r="AX1223" s="28">
        <f t="shared" si="176"/>
        <v>0</v>
      </c>
      <c r="AY1223" s="30" t="s">
        <v>2296</v>
      </c>
      <c r="AZ1223" s="30" t="s">
        <v>2123</v>
      </c>
      <c r="BA1223" s="10" t="s">
        <v>2029</v>
      </c>
      <c r="BC1223" s="28">
        <f t="shared" si="177"/>
        <v>0</v>
      </c>
      <c r="BD1223" s="28">
        <f t="shared" si="178"/>
        <v>0</v>
      </c>
      <c r="BE1223" s="28">
        <v>0</v>
      </c>
      <c r="BF1223" s="28">
        <f>1223</f>
        <v>1223</v>
      </c>
      <c r="BH1223" s="28">
        <f t="shared" si="179"/>
        <v>0</v>
      </c>
      <c r="BI1223" s="28">
        <f t="shared" si="180"/>
        <v>0</v>
      </c>
      <c r="BJ1223" s="28">
        <f t="shared" si="181"/>
        <v>0</v>
      </c>
      <c r="BK1223" s="28"/>
      <c r="BL1223" s="28"/>
      <c r="BW1223" s="28">
        <v>21</v>
      </c>
    </row>
    <row r="1224" spans="1:75" x14ac:dyDescent="0.25">
      <c r="A1224" s="24" t="s">
        <v>52</v>
      </c>
      <c r="B1224" s="25" t="s">
        <v>52</v>
      </c>
      <c r="C1224" s="139" t="s">
        <v>2312</v>
      </c>
      <c r="D1224" s="140"/>
      <c r="E1224" s="26" t="s">
        <v>4</v>
      </c>
      <c r="F1224" s="26" t="s">
        <v>4</v>
      </c>
      <c r="G1224" s="26" t="s">
        <v>4</v>
      </c>
      <c r="H1224" s="1">
        <f>H1226</f>
        <v>0</v>
      </c>
      <c r="I1224" s="1">
        <f>I1226</f>
        <v>0</v>
      </c>
      <c r="J1224" s="1">
        <f>J1226</f>
        <v>0</v>
      </c>
      <c r="K1224" s="27" t="s">
        <v>52</v>
      </c>
    </row>
    <row r="1225" spans="1:75" x14ac:dyDescent="0.25">
      <c r="A1225" s="24" t="s">
        <v>52</v>
      </c>
      <c r="B1225" s="25" t="s">
        <v>52</v>
      </c>
      <c r="C1225" s="139" t="s">
        <v>2313</v>
      </c>
      <c r="D1225" s="140"/>
      <c r="E1225" s="26" t="s">
        <v>4</v>
      </c>
      <c r="F1225" s="26" t="s">
        <v>4</v>
      </c>
      <c r="G1225" s="26" t="s">
        <v>4</v>
      </c>
      <c r="H1225" s="1">
        <f>H1226</f>
        <v>0</v>
      </c>
      <c r="I1225" s="1">
        <f>I1226</f>
        <v>0</v>
      </c>
      <c r="J1225" s="1">
        <f>J1226</f>
        <v>0</v>
      </c>
      <c r="K1225" s="27" t="s">
        <v>52</v>
      </c>
      <c r="AI1225" s="10" t="s">
        <v>2314</v>
      </c>
    </row>
    <row r="1226" spans="1:75" x14ac:dyDescent="0.25">
      <c r="A1226" s="24" t="s">
        <v>52</v>
      </c>
      <c r="B1226" s="25" t="s">
        <v>2315</v>
      </c>
      <c r="C1226" s="139" t="s">
        <v>2316</v>
      </c>
      <c r="D1226" s="140"/>
      <c r="E1226" s="26" t="s">
        <v>4</v>
      </c>
      <c r="F1226" s="26" t="s">
        <v>4</v>
      </c>
      <c r="G1226" s="26" t="s">
        <v>4</v>
      </c>
      <c r="H1226" s="1">
        <f>SUM(H1227:H1239)</f>
        <v>0</v>
      </c>
      <c r="I1226" s="1">
        <f>SUM(I1227:I1239)</f>
        <v>0</v>
      </c>
      <c r="J1226" s="1">
        <f>SUM(J1227:J1239)</f>
        <v>0</v>
      </c>
      <c r="K1226" s="27" t="s">
        <v>52</v>
      </c>
      <c r="AI1226" s="10" t="s">
        <v>2314</v>
      </c>
      <c r="AS1226" s="1">
        <f>SUM(AJ1227:AJ1239)</f>
        <v>0</v>
      </c>
      <c r="AT1226" s="1">
        <f>SUM(AK1227:AK1239)</f>
        <v>0</v>
      </c>
      <c r="AU1226" s="1">
        <f>SUM(AL1227:AL1239)</f>
        <v>0</v>
      </c>
    </row>
    <row r="1227" spans="1:75" ht="13.5" customHeight="1" x14ac:dyDescent="0.25">
      <c r="A1227" s="2" t="s">
        <v>2317</v>
      </c>
      <c r="B1227" s="3" t="s">
        <v>2318</v>
      </c>
      <c r="C1227" s="83" t="s">
        <v>2319</v>
      </c>
      <c r="D1227" s="80"/>
      <c r="E1227" s="3" t="s">
        <v>2320</v>
      </c>
      <c r="F1227" s="28">
        <v>1</v>
      </c>
      <c r="G1227" s="28">
        <v>0</v>
      </c>
      <c r="H1227" s="28">
        <f t="shared" ref="H1227:H1239" si="182">F1227*AO1227</f>
        <v>0</v>
      </c>
      <c r="I1227" s="28">
        <f t="shared" ref="I1227:I1239" si="183">F1227*AP1227</f>
        <v>0</v>
      </c>
      <c r="J1227" s="28">
        <f t="shared" ref="J1227:J1239" si="184">F1227*G1227</f>
        <v>0</v>
      </c>
      <c r="K1227" s="29" t="s">
        <v>52</v>
      </c>
      <c r="Z1227" s="28">
        <f t="shared" ref="Z1227:Z1239" si="185">IF(AQ1227="5",BJ1227,0)</f>
        <v>0</v>
      </c>
      <c r="AB1227" s="28">
        <f t="shared" ref="AB1227:AB1239" si="186">IF(AQ1227="1",BH1227,0)</f>
        <v>0</v>
      </c>
      <c r="AC1227" s="28">
        <f t="shared" ref="AC1227:AC1239" si="187">IF(AQ1227="1",BI1227,0)</f>
        <v>0</v>
      </c>
      <c r="AD1227" s="28">
        <f t="shared" ref="AD1227:AD1239" si="188">IF(AQ1227="7",BH1227,0)</f>
        <v>0</v>
      </c>
      <c r="AE1227" s="28">
        <f t="shared" ref="AE1227:AE1239" si="189">IF(AQ1227="7",BI1227,0)</f>
        <v>0</v>
      </c>
      <c r="AF1227" s="28">
        <f t="shared" ref="AF1227:AF1239" si="190">IF(AQ1227="2",BH1227,0)</f>
        <v>0</v>
      </c>
      <c r="AG1227" s="28">
        <f t="shared" ref="AG1227:AG1239" si="191">IF(AQ1227="2",BI1227,0)</f>
        <v>0</v>
      </c>
      <c r="AH1227" s="28">
        <f t="shared" ref="AH1227:AH1239" si="192">IF(AQ1227="0",BJ1227,0)</f>
        <v>0</v>
      </c>
      <c r="AI1227" s="10" t="s">
        <v>2314</v>
      </c>
      <c r="AJ1227" s="28">
        <f t="shared" ref="AJ1227:AJ1239" si="193">IF(AN1227=0,J1227,0)</f>
        <v>0</v>
      </c>
      <c r="AK1227" s="28">
        <f t="shared" ref="AK1227:AK1239" si="194">IF(AN1227=12,J1227,0)</f>
        <v>0</v>
      </c>
      <c r="AL1227" s="28">
        <f t="shared" ref="AL1227:AL1239" si="195">IF(AN1227=21,J1227,0)</f>
        <v>0</v>
      </c>
      <c r="AN1227" s="28">
        <v>21</v>
      </c>
      <c r="AO1227" s="28">
        <f t="shared" ref="AO1227:AO1239" si="196">G1227*0</f>
        <v>0</v>
      </c>
      <c r="AP1227" s="28">
        <f t="shared" ref="AP1227:AP1239" si="197">G1227*(1-0)</f>
        <v>0</v>
      </c>
      <c r="AQ1227" s="30" t="s">
        <v>696</v>
      </c>
      <c r="AV1227" s="28">
        <f t="shared" ref="AV1227:AV1239" si="198">AW1227+AX1227</f>
        <v>0</v>
      </c>
      <c r="AW1227" s="28">
        <f t="shared" ref="AW1227:AW1239" si="199">F1227*AO1227</f>
        <v>0</v>
      </c>
      <c r="AX1227" s="28">
        <f t="shared" ref="AX1227:AX1239" si="200">F1227*AP1227</f>
        <v>0</v>
      </c>
      <c r="AY1227" s="30" t="s">
        <v>2321</v>
      </c>
      <c r="AZ1227" s="30" t="s">
        <v>2322</v>
      </c>
      <c r="BA1227" s="10" t="s">
        <v>2323</v>
      </c>
      <c r="BC1227" s="28">
        <f t="shared" ref="BC1227:BC1239" si="201">AW1227+AX1227</f>
        <v>0</v>
      </c>
      <c r="BD1227" s="28">
        <f t="shared" ref="BD1227:BD1239" si="202">G1227/(100-BE1227)*100</f>
        <v>0</v>
      </c>
      <c r="BE1227" s="28">
        <v>0</v>
      </c>
      <c r="BF1227" s="28">
        <f>1227</f>
        <v>1227</v>
      </c>
      <c r="BH1227" s="28">
        <f t="shared" ref="BH1227:BH1239" si="203">F1227*AO1227</f>
        <v>0</v>
      </c>
      <c r="BI1227" s="28">
        <f t="shared" ref="BI1227:BI1239" si="204">F1227*AP1227</f>
        <v>0</v>
      </c>
      <c r="BJ1227" s="28">
        <f t="shared" ref="BJ1227:BJ1239" si="205">F1227*G1227</f>
        <v>0</v>
      </c>
      <c r="BK1227" s="28"/>
      <c r="BL1227" s="28"/>
      <c r="BO1227" s="28">
        <f t="shared" ref="BO1227:BO1239" si="206">F1227*G1227</f>
        <v>0</v>
      </c>
      <c r="BW1227" s="28">
        <v>21</v>
      </c>
    </row>
    <row r="1228" spans="1:75" ht="27" customHeight="1" x14ac:dyDescent="0.25">
      <c r="A1228" s="2" t="s">
        <v>2324</v>
      </c>
      <c r="B1228" s="3" t="s">
        <v>2325</v>
      </c>
      <c r="C1228" s="83" t="s">
        <v>2326</v>
      </c>
      <c r="D1228" s="80"/>
      <c r="E1228" s="3" t="s">
        <v>2320</v>
      </c>
      <c r="F1228" s="28">
        <v>1</v>
      </c>
      <c r="G1228" s="28">
        <v>0</v>
      </c>
      <c r="H1228" s="28">
        <f t="shared" si="182"/>
        <v>0</v>
      </c>
      <c r="I1228" s="28">
        <f t="shared" si="183"/>
        <v>0</v>
      </c>
      <c r="J1228" s="28">
        <f t="shared" si="184"/>
        <v>0</v>
      </c>
      <c r="K1228" s="29" t="s">
        <v>52</v>
      </c>
      <c r="Z1228" s="28">
        <f t="shared" si="185"/>
        <v>0</v>
      </c>
      <c r="AB1228" s="28">
        <f t="shared" si="186"/>
        <v>0</v>
      </c>
      <c r="AC1228" s="28">
        <f t="shared" si="187"/>
        <v>0</v>
      </c>
      <c r="AD1228" s="28">
        <f t="shared" si="188"/>
        <v>0</v>
      </c>
      <c r="AE1228" s="28">
        <f t="shared" si="189"/>
        <v>0</v>
      </c>
      <c r="AF1228" s="28">
        <f t="shared" si="190"/>
        <v>0</v>
      </c>
      <c r="AG1228" s="28">
        <f t="shared" si="191"/>
        <v>0</v>
      </c>
      <c r="AH1228" s="28">
        <f t="shared" si="192"/>
        <v>0</v>
      </c>
      <c r="AI1228" s="10" t="s">
        <v>2314</v>
      </c>
      <c r="AJ1228" s="28">
        <f t="shared" si="193"/>
        <v>0</v>
      </c>
      <c r="AK1228" s="28">
        <f t="shared" si="194"/>
        <v>0</v>
      </c>
      <c r="AL1228" s="28">
        <f t="shared" si="195"/>
        <v>0</v>
      </c>
      <c r="AN1228" s="28">
        <v>21</v>
      </c>
      <c r="AO1228" s="28">
        <f t="shared" si="196"/>
        <v>0</v>
      </c>
      <c r="AP1228" s="28">
        <f t="shared" si="197"/>
        <v>0</v>
      </c>
      <c r="AQ1228" s="30" t="s">
        <v>696</v>
      </c>
      <c r="AV1228" s="28">
        <f t="shared" si="198"/>
        <v>0</v>
      </c>
      <c r="AW1228" s="28">
        <f t="shared" si="199"/>
        <v>0</v>
      </c>
      <c r="AX1228" s="28">
        <f t="shared" si="200"/>
        <v>0</v>
      </c>
      <c r="AY1228" s="30" t="s">
        <v>2321</v>
      </c>
      <c r="AZ1228" s="30" t="s">
        <v>2322</v>
      </c>
      <c r="BA1228" s="10" t="s">
        <v>2323</v>
      </c>
      <c r="BC1228" s="28">
        <f t="shared" si="201"/>
        <v>0</v>
      </c>
      <c r="BD1228" s="28">
        <f t="shared" si="202"/>
        <v>0</v>
      </c>
      <c r="BE1228" s="28">
        <v>0</v>
      </c>
      <c r="BF1228" s="28">
        <f>1228</f>
        <v>1228</v>
      </c>
      <c r="BH1228" s="28">
        <f t="shared" si="203"/>
        <v>0</v>
      </c>
      <c r="BI1228" s="28">
        <f t="shared" si="204"/>
        <v>0</v>
      </c>
      <c r="BJ1228" s="28">
        <f t="shared" si="205"/>
        <v>0</v>
      </c>
      <c r="BK1228" s="28"/>
      <c r="BL1228" s="28"/>
      <c r="BO1228" s="28">
        <f t="shared" si="206"/>
        <v>0</v>
      </c>
      <c r="BW1228" s="28">
        <v>21</v>
      </c>
    </row>
    <row r="1229" spans="1:75" ht="13.5" customHeight="1" x14ac:dyDescent="0.25">
      <c r="A1229" s="2" t="s">
        <v>2327</v>
      </c>
      <c r="B1229" s="3" t="s">
        <v>2328</v>
      </c>
      <c r="C1229" s="83" t="s">
        <v>2329</v>
      </c>
      <c r="D1229" s="80"/>
      <c r="E1229" s="3" t="s">
        <v>2320</v>
      </c>
      <c r="F1229" s="28">
        <v>1</v>
      </c>
      <c r="G1229" s="28">
        <v>0</v>
      </c>
      <c r="H1229" s="28">
        <f t="shared" si="182"/>
        <v>0</v>
      </c>
      <c r="I1229" s="28">
        <f t="shared" si="183"/>
        <v>0</v>
      </c>
      <c r="J1229" s="28">
        <f t="shared" si="184"/>
        <v>0</v>
      </c>
      <c r="K1229" s="29" t="s">
        <v>52</v>
      </c>
      <c r="Z1229" s="28">
        <f t="shared" si="185"/>
        <v>0</v>
      </c>
      <c r="AB1229" s="28">
        <f t="shared" si="186"/>
        <v>0</v>
      </c>
      <c r="AC1229" s="28">
        <f t="shared" si="187"/>
        <v>0</v>
      </c>
      <c r="AD1229" s="28">
        <f t="shared" si="188"/>
        <v>0</v>
      </c>
      <c r="AE1229" s="28">
        <f t="shared" si="189"/>
        <v>0</v>
      </c>
      <c r="AF1229" s="28">
        <f t="shared" si="190"/>
        <v>0</v>
      </c>
      <c r="AG1229" s="28">
        <f t="shared" si="191"/>
        <v>0</v>
      </c>
      <c r="AH1229" s="28">
        <f t="shared" si="192"/>
        <v>0</v>
      </c>
      <c r="AI1229" s="10" t="s">
        <v>2314</v>
      </c>
      <c r="AJ1229" s="28">
        <f t="shared" si="193"/>
        <v>0</v>
      </c>
      <c r="AK1229" s="28">
        <f t="shared" si="194"/>
        <v>0</v>
      </c>
      <c r="AL1229" s="28">
        <f t="shared" si="195"/>
        <v>0</v>
      </c>
      <c r="AN1229" s="28">
        <v>21</v>
      </c>
      <c r="AO1229" s="28">
        <f t="shared" si="196"/>
        <v>0</v>
      </c>
      <c r="AP1229" s="28">
        <f t="shared" si="197"/>
        <v>0</v>
      </c>
      <c r="AQ1229" s="30" t="s">
        <v>696</v>
      </c>
      <c r="AV1229" s="28">
        <f t="shared" si="198"/>
        <v>0</v>
      </c>
      <c r="AW1229" s="28">
        <f t="shared" si="199"/>
        <v>0</v>
      </c>
      <c r="AX1229" s="28">
        <f t="shared" si="200"/>
        <v>0</v>
      </c>
      <c r="AY1229" s="30" t="s">
        <v>2321</v>
      </c>
      <c r="AZ1229" s="30" t="s">
        <v>2322</v>
      </c>
      <c r="BA1229" s="10" t="s">
        <v>2323</v>
      </c>
      <c r="BC1229" s="28">
        <f t="shared" si="201"/>
        <v>0</v>
      </c>
      <c r="BD1229" s="28">
        <f t="shared" si="202"/>
        <v>0</v>
      </c>
      <c r="BE1229" s="28">
        <v>0</v>
      </c>
      <c r="BF1229" s="28">
        <f>1229</f>
        <v>1229</v>
      </c>
      <c r="BH1229" s="28">
        <f t="shared" si="203"/>
        <v>0</v>
      </c>
      <c r="BI1229" s="28">
        <f t="shared" si="204"/>
        <v>0</v>
      </c>
      <c r="BJ1229" s="28">
        <f t="shared" si="205"/>
        <v>0</v>
      </c>
      <c r="BK1229" s="28"/>
      <c r="BL1229" s="28"/>
      <c r="BO1229" s="28">
        <f t="shared" si="206"/>
        <v>0</v>
      </c>
      <c r="BW1229" s="28">
        <v>21</v>
      </c>
    </row>
    <row r="1230" spans="1:75" ht="27" customHeight="1" x14ac:dyDescent="0.25">
      <c r="A1230" s="2" t="s">
        <v>2330</v>
      </c>
      <c r="B1230" s="3" t="s">
        <v>2331</v>
      </c>
      <c r="C1230" s="83" t="s">
        <v>2332</v>
      </c>
      <c r="D1230" s="80"/>
      <c r="E1230" s="3" t="s">
        <v>2320</v>
      </c>
      <c r="F1230" s="28">
        <v>1</v>
      </c>
      <c r="G1230" s="28">
        <v>0</v>
      </c>
      <c r="H1230" s="28">
        <f t="shared" si="182"/>
        <v>0</v>
      </c>
      <c r="I1230" s="28">
        <f t="shared" si="183"/>
        <v>0</v>
      </c>
      <c r="J1230" s="28">
        <f t="shared" si="184"/>
        <v>0</v>
      </c>
      <c r="K1230" s="29" t="s">
        <v>52</v>
      </c>
      <c r="Z1230" s="28">
        <f t="shared" si="185"/>
        <v>0</v>
      </c>
      <c r="AB1230" s="28">
        <f t="shared" si="186"/>
        <v>0</v>
      </c>
      <c r="AC1230" s="28">
        <f t="shared" si="187"/>
        <v>0</v>
      </c>
      <c r="AD1230" s="28">
        <f t="shared" si="188"/>
        <v>0</v>
      </c>
      <c r="AE1230" s="28">
        <f t="shared" si="189"/>
        <v>0</v>
      </c>
      <c r="AF1230" s="28">
        <f t="shared" si="190"/>
        <v>0</v>
      </c>
      <c r="AG1230" s="28">
        <f t="shared" si="191"/>
        <v>0</v>
      </c>
      <c r="AH1230" s="28">
        <f t="shared" si="192"/>
        <v>0</v>
      </c>
      <c r="AI1230" s="10" t="s">
        <v>2314</v>
      </c>
      <c r="AJ1230" s="28">
        <f t="shared" si="193"/>
        <v>0</v>
      </c>
      <c r="AK1230" s="28">
        <f t="shared" si="194"/>
        <v>0</v>
      </c>
      <c r="AL1230" s="28">
        <f t="shared" si="195"/>
        <v>0</v>
      </c>
      <c r="AN1230" s="28">
        <v>21</v>
      </c>
      <c r="AO1230" s="28">
        <f t="shared" si="196"/>
        <v>0</v>
      </c>
      <c r="AP1230" s="28">
        <f t="shared" si="197"/>
        <v>0</v>
      </c>
      <c r="AQ1230" s="30" t="s">
        <v>696</v>
      </c>
      <c r="AV1230" s="28">
        <f t="shared" si="198"/>
        <v>0</v>
      </c>
      <c r="AW1230" s="28">
        <f t="shared" si="199"/>
        <v>0</v>
      </c>
      <c r="AX1230" s="28">
        <f t="shared" si="200"/>
        <v>0</v>
      </c>
      <c r="AY1230" s="30" t="s">
        <v>2321</v>
      </c>
      <c r="AZ1230" s="30" t="s">
        <v>2322</v>
      </c>
      <c r="BA1230" s="10" t="s">
        <v>2323</v>
      </c>
      <c r="BC1230" s="28">
        <f t="shared" si="201"/>
        <v>0</v>
      </c>
      <c r="BD1230" s="28">
        <f t="shared" si="202"/>
        <v>0</v>
      </c>
      <c r="BE1230" s="28">
        <v>0</v>
      </c>
      <c r="BF1230" s="28">
        <f>1230</f>
        <v>1230</v>
      </c>
      <c r="BH1230" s="28">
        <f t="shared" si="203"/>
        <v>0</v>
      </c>
      <c r="BI1230" s="28">
        <f t="shared" si="204"/>
        <v>0</v>
      </c>
      <c r="BJ1230" s="28">
        <f t="shared" si="205"/>
        <v>0</v>
      </c>
      <c r="BK1230" s="28"/>
      <c r="BL1230" s="28"/>
      <c r="BO1230" s="28">
        <f t="shared" si="206"/>
        <v>0</v>
      </c>
      <c r="BW1230" s="28">
        <v>21</v>
      </c>
    </row>
    <row r="1231" spans="1:75" ht="13.5" customHeight="1" x14ac:dyDescent="0.25">
      <c r="A1231" s="2" t="s">
        <v>2333</v>
      </c>
      <c r="B1231" s="3" t="s">
        <v>2334</v>
      </c>
      <c r="C1231" s="83" t="s">
        <v>2335</v>
      </c>
      <c r="D1231" s="80"/>
      <c r="E1231" s="3" t="s">
        <v>2320</v>
      </c>
      <c r="F1231" s="28">
        <v>1</v>
      </c>
      <c r="G1231" s="28">
        <v>0</v>
      </c>
      <c r="H1231" s="28">
        <f t="shared" si="182"/>
        <v>0</v>
      </c>
      <c r="I1231" s="28">
        <f t="shared" si="183"/>
        <v>0</v>
      </c>
      <c r="J1231" s="28">
        <f t="shared" si="184"/>
        <v>0</v>
      </c>
      <c r="K1231" s="29" t="s">
        <v>52</v>
      </c>
      <c r="Z1231" s="28">
        <f t="shared" si="185"/>
        <v>0</v>
      </c>
      <c r="AB1231" s="28">
        <f t="shared" si="186"/>
        <v>0</v>
      </c>
      <c r="AC1231" s="28">
        <f t="shared" si="187"/>
        <v>0</v>
      </c>
      <c r="AD1231" s="28">
        <f t="shared" si="188"/>
        <v>0</v>
      </c>
      <c r="AE1231" s="28">
        <f t="shared" si="189"/>
        <v>0</v>
      </c>
      <c r="AF1231" s="28">
        <f t="shared" si="190"/>
        <v>0</v>
      </c>
      <c r="AG1231" s="28">
        <f t="shared" si="191"/>
        <v>0</v>
      </c>
      <c r="AH1231" s="28">
        <f t="shared" si="192"/>
        <v>0</v>
      </c>
      <c r="AI1231" s="10" t="s">
        <v>2314</v>
      </c>
      <c r="AJ1231" s="28">
        <f t="shared" si="193"/>
        <v>0</v>
      </c>
      <c r="AK1231" s="28">
        <f t="shared" si="194"/>
        <v>0</v>
      </c>
      <c r="AL1231" s="28">
        <f t="shared" si="195"/>
        <v>0</v>
      </c>
      <c r="AN1231" s="28">
        <v>21</v>
      </c>
      <c r="AO1231" s="28">
        <f t="shared" si="196"/>
        <v>0</v>
      </c>
      <c r="AP1231" s="28">
        <f t="shared" si="197"/>
        <v>0</v>
      </c>
      <c r="AQ1231" s="30" t="s">
        <v>696</v>
      </c>
      <c r="AV1231" s="28">
        <f t="shared" si="198"/>
        <v>0</v>
      </c>
      <c r="AW1231" s="28">
        <f t="shared" si="199"/>
        <v>0</v>
      </c>
      <c r="AX1231" s="28">
        <f t="shared" si="200"/>
        <v>0</v>
      </c>
      <c r="AY1231" s="30" t="s">
        <v>2321</v>
      </c>
      <c r="AZ1231" s="30" t="s">
        <v>2322</v>
      </c>
      <c r="BA1231" s="10" t="s">
        <v>2323</v>
      </c>
      <c r="BC1231" s="28">
        <f t="shared" si="201"/>
        <v>0</v>
      </c>
      <c r="BD1231" s="28">
        <f t="shared" si="202"/>
        <v>0</v>
      </c>
      <c r="BE1231" s="28">
        <v>0</v>
      </c>
      <c r="BF1231" s="28">
        <f>1231</f>
        <v>1231</v>
      </c>
      <c r="BH1231" s="28">
        <f t="shared" si="203"/>
        <v>0</v>
      </c>
      <c r="BI1231" s="28">
        <f t="shared" si="204"/>
        <v>0</v>
      </c>
      <c r="BJ1231" s="28">
        <f t="shared" si="205"/>
        <v>0</v>
      </c>
      <c r="BK1231" s="28"/>
      <c r="BL1231" s="28"/>
      <c r="BO1231" s="28">
        <f t="shared" si="206"/>
        <v>0</v>
      </c>
      <c r="BW1231" s="28">
        <v>21</v>
      </c>
    </row>
    <row r="1232" spans="1:75" ht="27" customHeight="1" x14ac:dyDescent="0.25">
      <c r="A1232" s="2" t="s">
        <v>2336</v>
      </c>
      <c r="B1232" s="3" t="s">
        <v>2337</v>
      </c>
      <c r="C1232" s="83" t="s">
        <v>2338</v>
      </c>
      <c r="D1232" s="80"/>
      <c r="E1232" s="3" t="s">
        <v>2320</v>
      </c>
      <c r="F1232" s="28">
        <v>1</v>
      </c>
      <c r="G1232" s="28">
        <v>0</v>
      </c>
      <c r="H1232" s="28">
        <f t="shared" si="182"/>
        <v>0</v>
      </c>
      <c r="I1232" s="28">
        <f t="shared" si="183"/>
        <v>0</v>
      </c>
      <c r="J1232" s="28">
        <f t="shared" si="184"/>
        <v>0</v>
      </c>
      <c r="K1232" s="29" t="s">
        <v>52</v>
      </c>
      <c r="Z1232" s="28">
        <f t="shared" si="185"/>
        <v>0</v>
      </c>
      <c r="AB1232" s="28">
        <f t="shared" si="186"/>
        <v>0</v>
      </c>
      <c r="AC1232" s="28">
        <f t="shared" si="187"/>
        <v>0</v>
      </c>
      <c r="AD1232" s="28">
        <f t="shared" si="188"/>
        <v>0</v>
      </c>
      <c r="AE1232" s="28">
        <f t="shared" si="189"/>
        <v>0</v>
      </c>
      <c r="AF1232" s="28">
        <f t="shared" si="190"/>
        <v>0</v>
      </c>
      <c r="AG1232" s="28">
        <f t="shared" si="191"/>
        <v>0</v>
      </c>
      <c r="AH1232" s="28">
        <f t="shared" si="192"/>
        <v>0</v>
      </c>
      <c r="AI1232" s="10" t="s">
        <v>2314</v>
      </c>
      <c r="AJ1232" s="28">
        <f t="shared" si="193"/>
        <v>0</v>
      </c>
      <c r="AK1232" s="28">
        <f t="shared" si="194"/>
        <v>0</v>
      </c>
      <c r="AL1232" s="28">
        <f t="shared" si="195"/>
        <v>0</v>
      </c>
      <c r="AN1232" s="28">
        <v>21</v>
      </c>
      <c r="AO1232" s="28">
        <f t="shared" si="196"/>
        <v>0</v>
      </c>
      <c r="AP1232" s="28">
        <f t="shared" si="197"/>
        <v>0</v>
      </c>
      <c r="AQ1232" s="30" t="s">
        <v>696</v>
      </c>
      <c r="AV1232" s="28">
        <f t="shared" si="198"/>
        <v>0</v>
      </c>
      <c r="AW1232" s="28">
        <f t="shared" si="199"/>
        <v>0</v>
      </c>
      <c r="AX1232" s="28">
        <f t="shared" si="200"/>
        <v>0</v>
      </c>
      <c r="AY1232" s="30" t="s">
        <v>2321</v>
      </c>
      <c r="AZ1232" s="30" t="s">
        <v>2322</v>
      </c>
      <c r="BA1232" s="10" t="s">
        <v>2323</v>
      </c>
      <c r="BC1232" s="28">
        <f t="shared" si="201"/>
        <v>0</v>
      </c>
      <c r="BD1232" s="28">
        <f t="shared" si="202"/>
        <v>0</v>
      </c>
      <c r="BE1232" s="28">
        <v>0</v>
      </c>
      <c r="BF1232" s="28">
        <f>1232</f>
        <v>1232</v>
      </c>
      <c r="BH1232" s="28">
        <f t="shared" si="203"/>
        <v>0</v>
      </c>
      <c r="BI1232" s="28">
        <f t="shared" si="204"/>
        <v>0</v>
      </c>
      <c r="BJ1232" s="28">
        <f t="shared" si="205"/>
        <v>0</v>
      </c>
      <c r="BK1232" s="28"/>
      <c r="BL1232" s="28"/>
      <c r="BO1232" s="28">
        <f t="shared" si="206"/>
        <v>0</v>
      </c>
      <c r="BW1232" s="28">
        <v>21</v>
      </c>
    </row>
    <row r="1233" spans="1:75" ht="27" customHeight="1" x14ac:dyDescent="0.25">
      <c r="A1233" s="2" t="s">
        <v>2339</v>
      </c>
      <c r="B1233" s="3" t="s">
        <v>2340</v>
      </c>
      <c r="C1233" s="83" t="s">
        <v>2341</v>
      </c>
      <c r="D1233" s="80"/>
      <c r="E1233" s="3" t="s">
        <v>2320</v>
      </c>
      <c r="F1233" s="28">
        <v>1</v>
      </c>
      <c r="G1233" s="28">
        <v>0</v>
      </c>
      <c r="H1233" s="28">
        <f t="shared" si="182"/>
        <v>0</v>
      </c>
      <c r="I1233" s="28">
        <f t="shared" si="183"/>
        <v>0</v>
      </c>
      <c r="J1233" s="28">
        <f t="shared" si="184"/>
        <v>0</v>
      </c>
      <c r="K1233" s="29" t="s">
        <v>52</v>
      </c>
      <c r="Z1233" s="28">
        <f t="shared" si="185"/>
        <v>0</v>
      </c>
      <c r="AB1233" s="28">
        <f t="shared" si="186"/>
        <v>0</v>
      </c>
      <c r="AC1233" s="28">
        <f t="shared" si="187"/>
        <v>0</v>
      </c>
      <c r="AD1233" s="28">
        <f t="shared" si="188"/>
        <v>0</v>
      </c>
      <c r="AE1233" s="28">
        <f t="shared" si="189"/>
        <v>0</v>
      </c>
      <c r="AF1233" s="28">
        <f t="shared" si="190"/>
        <v>0</v>
      </c>
      <c r="AG1233" s="28">
        <f t="shared" si="191"/>
        <v>0</v>
      </c>
      <c r="AH1233" s="28">
        <f t="shared" si="192"/>
        <v>0</v>
      </c>
      <c r="AI1233" s="10" t="s">
        <v>2314</v>
      </c>
      <c r="AJ1233" s="28">
        <f t="shared" si="193"/>
        <v>0</v>
      </c>
      <c r="AK1233" s="28">
        <f t="shared" si="194"/>
        <v>0</v>
      </c>
      <c r="AL1233" s="28">
        <f t="shared" si="195"/>
        <v>0</v>
      </c>
      <c r="AN1233" s="28">
        <v>21</v>
      </c>
      <c r="AO1233" s="28">
        <f t="shared" si="196"/>
        <v>0</v>
      </c>
      <c r="AP1233" s="28">
        <f t="shared" si="197"/>
        <v>0</v>
      </c>
      <c r="AQ1233" s="30" t="s">
        <v>696</v>
      </c>
      <c r="AV1233" s="28">
        <f t="shared" si="198"/>
        <v>0</v>
      </c>
      <c r="AW1233" s="28">
        <f t="shared" si="199"/>
        <v>0</v>
      </c>
      <c r="AX1233" s="28">
        <f t="shared" si="200"/>
        <v>0</v>
      </c>
      <c r="AY1233" s="30" t="s">
        <v>2321</v>
      </c>
      <c r="AZ1233" s="30" t="s">
        <v>2322</v>
      </c>
      <c r="BA1233" s="10" t="s">
        <v>2323</v>
      </c>
      <c r="BC1233" s="28">
        <f t="shared" si="201"/>
        <v>0</v>
      </c>
      <c r="BD1233" s="28">
        <f t="shared" si="202"/>
        <v>0</v>
      </c>
      <c r="BE1233" s="28">
        <v>0</v>
      </c>
      <c r="BF1233" s="28">
        <f>1233</f>
        <v>1233</v>
      </c>
      <c r="BH1233" s="28">
        <f t="shared" si="203"/>
        <v>0</v>
      </c>
      <c r="BI1233" s="28">
        <f t="shared" si="204"/>
        <v>0</v>
      </c>
      <c r="BJ1233" s="28">
        <f t="shared" si="205"/>
        <v>0</v>
      </c>
      <c r="BK1233" s="28"/>
      <c r="BL1233" s="28"/>
      <c r="BO1233" s="28">
        <f t="shared" si="206"/>
        <v>0</v>
      </c>
      <c r="BW1233" s="28">
        <v>21</v>
      </c>
    </row>
    <row r="1234" spans="1:75" ht="13.5" customHeight="1" x14ac:dyDescent="0.25">
      <c r="A1234" s="2" t="s">
        <v>2342</v>
      </c>
      <c r="B1234" s="3" t="s">
        <v>2343</v>
      </c>
      <c r="C1234" s="83" t="s">
        <v>2344</v>
      </c>
      <c r="D1234" s="80"/>
      <c r="E1234" s="3" t="s">
        <v>2320</v>
      </c>
      <c r="F1234" s="28">
        <v>1</v>
      </c>
      <c r="G1234" s="28">
        <v>0</v>
      </c>
      <c r="H1234" s="28">
        <f t="shared" si="182"/>
        <v>0</v>
      </c>
      <c r="I1234" s="28">
        <f t="shared" si="183"/>
        <v>0</v>
      </c>
      <c r="J1234" s="28">
        <f t="shared" si="184"/>
        <v>0</v>
      </c>
      <c r="K1234" s="29" t="s">
        <v>52</v>
      </c>
      <c r="Z1234" s="28">
        <f t="shared" si="185"/>
        <v>0</v>
      </c>
      <c r="AB1234" s="28">
        <f t="shared" si="186"/>
        <v>0</v>
      </c>
      <c r="AC1234" s="28">
        <f t="shared" si="187"/>
        <v>0</v>
      </c>
      <c r="AD1234" s="28">
        <f t="shared" si="188"/>
        <v>0</v>
      </c>
      <c r="AE1234" s="28">
        <f t="shared" si="189"/>
        <v>0</v>
      </c>
      <c r="AF1234" s="28">
        <f t="shared" si="190"/>
        <v>0</v>
      </c>
      <c r="AG1234" s="28">
        <f t="shared" si="191"/>
        <v>0</v>
      </c>
      <c r="AH1234" s="28">
        <f t="shared" si="192"/>
        <v>0</v>
      </c>
      <c r="AI1234" s="10" t="s">
        <v>2314</v>
      </c>
      <c r="AJ1234" s="28">
        <f t="shared" si="193"/>
        <v>0</v>
      </c>
      <c r="AK1234" s="28">
        <f t="shared" si="194"/>
        <v>0</v>
      </c>
      <c r="AL1234" s="28">
        <f t="shared" si="195"/>
        <v>0</v>
      </c>
      <c r="AN1234" s="28">
        <v>21</v>
      </c>
      <c r="AO1234" s="28">
        <f t="shared" si="196"/>
        <v>0</v>
      </c>
      <c r="AP1234" s="28">
        <f t="shared" si="197"/>
        <v>0</v>
      </c>
      <c r="AQ1234" s="30" t="s">
        <v>696</v>
      </c>
      <c r="AV1234" s="28">
        <f t="shared" si="198"/>
        <v>0</v>
      </c>
      <c r="AW1234" s="28">
        <f t="shared" si="199"/>
        <v>0</v>
      </c>
      <c r="AX1234" s="28">
        <f t="shared" si="200"/>
        <v>0</v>
      </c>
      <c r="AY1234" s="30" t="s">
        <v>2321</v>
      </c>
      <c r="AZ1234" s="30" t="s">
        <v>2322</v>
      </c>
      <c r="BA1234" s="10" t="s">
        <v>2323</v>
      </c>
      <c r="BC1234" s="28">
        <f t="shared" si="201"/>
        <v>0</v>
      </c>
      <c r="BD1234" s="28">
        <f t="shared" si="202"/>
        <v>0</v>
      </c>
      <c r="BE1234" s="28">
        <v>0</v>
      </c>
      <c r="BF1234" s="28">
        <f>1234</f>
        <v>1234</v>
      </c>
      <c r="BH1234" s="28">
        <f t="shared" si="203"/>
        <v>0</v>
      </c>
      <c r="BI1234" s="28">
        <f t="shared" si="204"/>
        <v>0</v>
      </c>
      <c r="BJ1234" s="28">
        <f t="shared" si="205"/>
        <v>0</v>
      </c>
      <c r="BK1234" s="28"/>
      <c r="BL1234" s="28"/>
      <c r="BO1234" s="28">
        <f t="shared" si="206"/>
        <v>0</v>
      </c>
      <c r="BW1234" s="28">
        <v>21</v>
      </c>
    </row>
    <row r="1235" spans="1:75" ht="13.5" customHeight="1" x14ac:dyDescent="0.25">
      <c r="A1235" s="2" t="s">
        <v>2345</v>
      </c>
      <c r="B1235" s="3" t="s">
        <v>2346</v>
      </c>
      <c r="C1235" s="83" t="s">
        <v>2347</v>
      </c>
      <c r="D1235" s="80"/>
      <c r="E1235" s="3" t="s">
        <v>2320</v>
      </c>
      <c r="F1235" s="28">
        <v>1</v>
      </c>
      <c r="G1235" s="28">
        <v>0</v>
      </c>
      <c r="H1235" s="28">
        <f t="shared" si="182"/>
        <v>0</v>
      </c>
      <c r="I1235" s="28">
        <f t="shared" si="183"/>
        <v>0</v>
      </c>
      <c r="J1235" s="28">
        <f t="shared" si="184"/>
        <v>0</v>
      </c>
      <c r="K1235" s="29" t="s">
        <v>52</v>
      </c>
      <c r="Z1235" s="28">
        <f t="shared" si="185"/>
        <v>0</v>
      </c>
      <c r="AB1235" s="28">
        <f t="shared" si="186"/>
        <v>0</v>
      </c>
      <c r="AC1235" s="28">
        <f t="shared" si="187"/>
        <v>0</v>
      </c>
      <c r="AD1235" s="28">
        <f t="shared" si="188"/>
        <v>0</v>
      </c>
      <c r="AE1235" s="28">
        <f t="shared" si="189"/>
        <v>0</v>
      </c>
      <c r="AF1235" s="28">
        <f t="shared" si="190"/>
        <v>0</v>
      </c>
      <c r="AG1235" s="28">
        <f t="shared" si="191"/>
        <v>0</v>
      </c>
      <c r="AH1235" s="28">
        <f t="shared" si="192"/>
        <v>0</v>
      </c>
      <c r="AI1235" s="10" t="s">
        <v>2314</v>
      </c>
      <c r="AJ1235" s="28">
        <f t="shared" si="193"/>
        <v>0</v>
      </c>
      <c r="AK1235" s="28">
        <f t="shared" si="194"/>
        <v>0</v>
      </c>
      <c r="AL1235" s="28">
        <f t="shared" si="195"/>
        <v>0</v>
      </c>
      <c r="AN1235" s="28">
        <v>21</v>
      </c>
      <c r="AO1235" s="28">
        <f t="shared" si="196"/>
        <v>0</v>
      </c>
      <c r="AP1235" s="28">
        <f t="shared" si="197"/>
        <v>0</v>
      </c>
      <c r="AQ1235" s="30" t="s">
        <v>696</v>
      </c>
      <c r="AV1235" s="28">
        <f t="shared" si="198"/>
        <v>0</v>
      </c>
      <c r="AW1235" s="28">
        <f t="shared" si="199"/>
        <v>0</v>
      </c>
      <c r="AX1235" s="28">
        <f t="shared" si="200"/>
        <v>0</v>
      </c>
      <c r="AY1235" s="30" t="s">
        <v>2321</v>
      </c>
      <c r="AZ1235" s="30" t="s">
        <v>2322</v>
      </c>
      <c r="BA1235" s="10" t="s">
        <v>2323</v>
      </c>
      <c r="BC1235" s="28">
        <f t="shared" si="201"/>
        <v>0</v>
      </c>
      <c r="BD1235" s="28">
        <f t="shared" si="202"/>
        <v>0</v>
      </c>
      <c r="BE1235" s="28">
        <v>0</v>
      </c>
      <c r="BF1235" s="28">
        <f>1235</f>
        <v>1235</v>
      </c>
      <c r="BH1235" s="28">
        <f t="shared" si="203"/>
        <v>0</v>
      </c>
      <c r="BI1235" s="28">
        <f t="shared" si="204"/>
        <v>0</v>
      </c>
      <c r="BJ1235" s="28">
        <f t="shared" si="205"/>
        <v>0</v>
      </c>
      <c r="BK1235" s="28"/>
      <c r="BL1235" s="28"/>
      <c r="BO1235" s="28">
        <f t="shared" si="206"/>
        <v>0</v>
      </c>
      <c r="BW1235" s="28">
        <v>21</v>
      </c>
    </row>
    <row r="1236" spans="1:75" ht="13.5" customHeight="1" x14ac:dyDescent="0.25">
      <c r="A1236" s="2" t="s">
        <v>2348</v>
      </c>
      <c r="B1236" s="3" t="s">
        <v>2349</v>
      </c>
      <c r="C1236" s="83" t="s">
        <v>2350</v>
      </c>
      <c r="D1236" s="80"/>
      <c r="E1236" s="3" t="s">
        <v>2320</v>
      </c>
      <c r="F1236" s="28">
        <v>1</v>
      </c>
      <c r="G1236" s="28">
        <v>0</v>
      </c>
      <c r="H1236" s="28">
        <f t="shared" si="182"/>
        <v>0</v>
      </c>
      <c r="I1236" s="28">
        <f t="shared" si="183"/>
        <v>0</v>
      </c>
      <c r="J1236" s="28">
        <f t="shared" si="184"/>
        <v>0</v>
      </c>
      <c r="K1236" s="29" t="s">
        <v>52</v>
      </c>
      <c r="Z1236" s="28">
        <f t="shared" si="185"/>
        <v>0</v>
      </c>
      <c r="AB1236" s="28">
        <f t="shared" si="186"/>
        <v>0</v>
      </c>
      <c r="AC1236" s="28">
        <f t="shared" si="187"/>
        <v>0</v>
      </c>
      <c r="AD1236" s="28">
        <f t="shared" si="188"/>
        <v>0</v>
      </c>
      <c r="AE1236" s="28">
        <f t="shared" si="189"/>
        <v>0</v>
      </c>
      <c r="AF1236" s="28">
        <f t="shared" si="190"/>
        <v>0</v>
      </c>
      <c r="AG1236" s="28">
        <f t="shared" si="191"/>
        <v>0</v>
      </c>
      <c r="AH1236" s="28">
        <f t="shared" si="192"/>
        <v>0</v>
      </c>
      <c r="AI1236" s="10" t="s">
        <v>2314</v>
      </c>
      <c r="AJ1236" s="28">
        <f t="shared" si="193"/>
        <v>0</v>
      </c>
      <c r="AK1236" s="28">
        <f t="shared" si="194"/>
        <v>0</v>
      </c>
      <c r="AL1236" s="28">
        <f t="shared" si="195"/>
        <v>0</v>
      </c>
      <c r="AN1236" s="28">
        <v>21</v>
      </c>
      <c r="AO1236" s="28">
        <f t="shared" si="196"/>
        <v>0</v>
      </c>
      <c r="AP1236" s="28">
        <f t="shared" si="197"/>
        <v>0</v>
      </c>
      <c r="AQ1236" s="30" t="s">
        <v>696</v>
      </c>
      <c r="AV1236" s="28">
        <f t="shared" si="198"/>
        <v>0</v>
      </c>
      <c r="AW1236" s="28">
        <f t="shared" si="199"/>
        <v>0</v>
      </c>
      <c r="AX1236" s="28">
        <f t="shared" si="200"/>
        <v>0</v>
      </c>
      <c r="AY1236" s="30" t="s">
        <v>2321</v>
      </c>
      <c r="AZ1236" s="30" t="s">
        <v>2322</v>
      </c>
      <c r="BA1236" s="10" t="s">
        <v>2323</v>
      </c>
      <c r="BC1236" s="28">
        <f t="shared" si="201"/>
        <v>0</v>
      </c>
      <c r="BD1236" s="28">
        <f t="shared" si="202"/>
        <v>0</v>
      </c>
      <c r="BE1236" s="28">
        <v>0</v>
      </c>
      <c r="BF1236" s="28">
        <f>1236</f>
        <v>1236</v>
      </c>
      <c r="BH1236" s="28">
        <f t="shared" si="203"/>
        <v>0</v>
      </c>
      <c r="BI1236" s="28">
        <f t="shared" si="204"/>
        <v>0</v>
      </c>
      <c r="BJ1236" s="28">
        <f t="shared" si="205"/>
        <v>0</v>
      </c>
      <c r="BK1236" s="28"/>
      <c r="BL1236" s="28"/>
      <c r="BO1236" s="28">
        <f t="shared" si="206"/>
        <v>0</v>
      </c>
      <c r="BW1236" s="28">
        <v>21</v>
      </c>
    </row>
    <row r="1237" spans="1:75" ht="13.5" customHeight="1" x14ac:dyDescent="0.25">
      <c r="A1237" s="2" t="s">
        <v>2351</v>
      </c>
      <c r="B1237" s="3" t="s">
        <v>2352</v>
      </c>
      <c r="C1237" s="83" t="s">
        <v>2353</v>
      </c>
      <c r="D1237" s="80"/>
      <c r="E1237" s="3" t="s">
        <v>2320</v>
      </c>
      <c r="F1237" s="28">
        <v>1</v>
      </c>
      <c r="G1237" s="28">
        <v>0</v>
      </c>
      <c r="H1237" s="28">
        <f t="shared" si="182"/>
        <v>0</v>
      </c>
      <c r="I1237" s="28">
        <f t="shared" si="183"/>
        <v>0</v>
      </c>
      <c r="J1237" s="28">
        <f t="shared" si="184"/>
        <v>0</v>
      </c>
      <c r="K1237" s="29" t="s">
        <v>52</v>
      </c>
      <c r="Z1237" s="28">
        <f t="shared" si="185"/>
        <v>0</v>
      </c>
      <c r="AB1237" s="28">
        <f t="shared" si="186"/>
        <v>0</v>
      </c>
      <c r="AC1237" s="28">
        <f t="shared" si="187"/>
        <v>0</v>
      </c>
      <c r="AD1237" s="28">
        <f t="shared" si="188"/>
        <v>0</v>
      </c>
      <c r="AE1237" s="28">
        <f t="shared" si="189"/>
        <v>0</v>
      </c>
      <c r="AF1237" s="28">
        <f t="shared" si="190"/>
        <v>0</v>
      </c>
      <c r="AG1237" s="28">
        <f t="shared" si="191"/>
        <v>0</v>
      </c>
      <c r="AH1237" s="28">
        <f t="shared" si="192"/>
        <v>0</v>
      </c>
      <c r="AI1237" s="10" t="s">
        <v>2314</v>
      </c>
      <c r="AJ1237" s="28">
        <f t="shared" si="193"/>
        <v>0</v>
      </c>
      <c r="AK1237" s="28">
        <f t="shared" si="194"/>
        <v>0</v>
      </c>
      <c r="AL1237" s="28">
        <f t="shared" si="195"/>
        <v>0</v>
      </c>
      <c r="AN1237" s="28">
        <v>21</v>
      </c>
      <c r="AO1237" s="28">
        <f t="shared" si="196"/>
        <v>0</v>
      </c>
      <c r="AP1237" s="28">
        <f t="shared" si="197"/>
        <v>0</v>
      </c>
      <c r="AQ1237" s="30" t="s">
        <v>696</v>
      </c>
      <c r="AV1237" s="28">
        <f t="shared" si="198"/>
        <v>0</v>
      </c>
      <c r="AW1237" s="28">
        <f t="shared" si="199"/>
        <v>0</v>
      </c>
      <c r="AX1237" s="28">
        <f t="shared" si="200"/>
        <v>0</v>
      </c>
      <c r="AY1237" s="30" t="s">
        <v>2321</v>
      </c>
      <c r="AZ1237" s="30" t="s">
        <v>2322</v>
      </c>
      <c r="BA1237" s="10" t="s">
        <v>2323</v>
      </c>
      <c r="BC1237" s="28">
        <f t="shared" si="201"/>
        <v>0</v>
      </c>
      <c r="BD1237" s="28">
        <f t="shared" si="202"/>
        <v>0</v>
      </c>
      <c r="BE1237" s="28">
        <v>0</v>
      </c>
      <c r="BF1237" s="28">
        <f>1237</f>
        <v>1237</v>
      </c>
      <c r="BH1237" s="28">
        <f t="shared" si="203"/>
        <v>0</v>
      </c>
      <c r="BI1237" s="28">
        <f t="shared" si="204"/>
        <v>0</v>
      </c>
      <c r="BJ1237" s="28">
        <f t="shared" si="205"/>
        <v>0</v>
      </c>
      <c r="BK1237" s="28"/>
      <c r="BL1237" s="28"/>
      <c r="BO1237" s="28">
        <f t="shared" si="206"/>
        <v>0</v>
      </c>
      <c r="BW1237" s="28">
        <v>21</v>
      </c>
    </row>
    <row r="1238" spans="1:75" ht="13.5" customHeight="1" x14ac:dyDescent="0.25">
      <c r="A1238" s="2" t="s">
        <v>2354</v>
      </c>
      <c r="B1238" s="3" t="s">
        <v>2355</v>
      </c>
      <c r="C1238" s="83" t="s">
        <v>2356</v>
      </c>
      <c r="D1238" s="80"/>
      <c r="E1238" s="3" t="s">
        <v>2320</v>
      </c>
      <c r="F1238" s="28">
        <v>1</v>
      </c>
      <c r="G1238" s="28">
        <v>0</v>
      </c>
      <c r="H1238" s="28">
        <f t="shared" si="182"/>
        <v>0</v>
      </c>
      <c r="I1238" s="28">
        <f t="shared" si="183"/>
        <v>0</v>
      </c>
      <c r="J1238" s="28">
        <f t="shared" si="184"/>
        <v>0</v>
      </c>
      <c r="K1238" s="29" t="s">
        <v>52</v>
      </c>
      <c r="Z1238" s="28">
        <f t="shared" si="185"/>
        <v>0</v>
      </c>
      <c r="AB1238" s="28">
        <f t="shared" si="186"/>
        <v>0</v>
      </c>
      <c r="AC1238" s="28">
        <f t="shared" si="187"/>
        <v>0</v>
      </c>
      <c r="AD1238" s="28">
        <f t="shared" si="188"/>
        <v>0</v>
      </c>
      <c r="AE1238" s="28">
        <f t="shared" si="189"/>
        <v>0</v>
      </c>
      <c r="AF1238" s="28">
        <f t="shared" si="190"/>
        <v>0</v>
      </c>
      <c r="AG1238" s="28">
        <f t="shared" si="191"/>
        <v>0</v>
      </c>
      <c r="AH1238" s="28">
        <f t="shared" si="192"/>
        <v>0</v>
      </c>
      <c r="AI1238" s="10" t="s">
        <v>2314</v>
      </c>
      <c r="AJ1238" s="28">
        <f t="shared" si="193"/>
        <v>0</v>
      </c>
      <c r="AK1238" s="28">
        <f t="shared" si="194"/>
        <v>0</v>
      </c>
      <c r="AL1238" s="28">
        <f t="shared" si="195"/>
        <v>0</v>
      </c>
      <c r="AN1238" s="28">
        <v>21</v>
      </c>
      <c r="AO1238" s="28">
        <f t="shared" si="196"/>
        <v>0</v>
      </c>
      <c r="AP1238" s="28">
        <f t="shared" si="197"/>
        <v>0</v>
      </c>
      <c r="AQ1238" s="30" t="s">
        <v>696</v>
      </c>
      <c r="AV1238" s="28">
        <f t="shared" si="198"/>
        <v>0</v>
      </c>
      <c r="AW1238" s="28">
        <f t="shared" si="199"/>
        <v>0</v>
      </c>
      <c r="AX1238" s="28">
        <f t="shared" si="200"/>
        <v>0</v>
      </c>
      <c r="AY1238" s="30" t="s">
        <v>2321</v>
      </c>
      <c r="AZ1238" s="30" t="s">
        <v>2322</v>
      </c>
      <c r="BA1238" s="10" t="s">
        <v>2323</v>
      </c>
      <c r="BC1238" s="28">
        <f t="shared" si="201"/>
        <v>0</v>
      </c>
      <c r="BD1238" s="28">
        <f t="shared" si="202"/>
        <v>0</v>
      </c>
      <c r="BE1238" s="28">
        <v>0</v>
      </c>
      <c r="BF1238" s="28">
        <f>1238</f>
        <v>1238</v>
      </c>
      <c r="BH1238" s="28">
        <f t="shared" si="203"/>
        <v>0</v>
      </c>
      <c r="BI1238" s="28">
        <f t="shared" si="204"/>
        <v>0</v>
      </c>
      <c r="BJ1238" s="28">
        <f t="shared" si="205"/>
        <v>0</v>
      </c>
      <c r="BK1238" s="28"/>
      <c r="BL1238" s="28"/>
      <c r="BO1238" s="28">
        <f t="shared" si="206"/>
        <v>0</v>
      </c>
      <c r="BW1238" s="28">
        <v>21</v>
      </c>
    </row>
    <row r="1239" spans="1:75" ht="13.5" customHeight="1" x14ac:dyDescent="0.25">
      <c r="A1239" s="35" t="s">
        <v>2357</v>
      </c>
      <c r="B1239" s="36" t="s">
        <v>2358</v>
      </c>
      <c r="C1239" s="143" t="s">
        <v>2359</v>
      </c>
      <c r="D1239" s="90"/>
      <c r="E1239" s="36" t="s">
        <v>2320</v>
      </c>
      <c r="F1239" s="37">
        <v>1</v>
      </c>
      <c r="G1239" s="37">
        <v>0</v>
      </c>
      <c r="H1239" s="37">
        <f t="shared" si="182"/>
        <v>0</v>
      </c>
      <c r="I1239" s="37">
        <f t="shared" si="183"/>
        <v>0</v>
      </c>
      <c r="J1239" s="37">
        <f t="shared" si="184"/>
        <v>0</v>
      </c>
      <c r="K1239" s="38" t="s">
        <v>52</v>
      </c>
      <c r="Z1239" s="28">
        <f t="shared" si="185"/>
        <v>0</v>
      </c>
      <c r="AB1239" s="28">
        <f t="shared" si="186"/>
        <v>0</v>
      </c>
      <c r="AC1239" s="28">
        <f t="shared" si="187"/>
        <v>0</v>
      </c>
      <c r="AD1239" s="28">
        <f t="shared" si="188"/>
        <v>0</v>
      </c>
      <c r="AE1239" s="28">
        <f t="shared" si="189"/>
        <v>0</v>
      </c>
      <c r="AF1239" s="28">
        <f t="shared" si="190"/>
        <v>0</v>
      </c>
      <c r="AG1239" s="28">
        <f t="shared" si="191"/>
        <v>0</v>
      </c>
      <c r="AH1239" s="28">
        <f t="shared" si="192"/>
        <v>0</v>
      </c>
      <c r="AI1239" s="10" t="s">
        <v>2314</v>
      </c>
      <c r="AJ1239" s="28">
        <f t="shared" si="193"/>
        <v>0</v>
      </c>
      <c r="AK1239" s="28">
        <f t="shared" si="194"/>
        <v>0</v>
      </c>
      <c r="AL1239" s="28">
        <f t="shared" si="195"/>
        <v>0</v>
      </c>
      <c r="AN1239" s="28">
        <v>21</v>
      </c>
      <c r="AO1239" s="28">
        <f t="shared" si="196"/>
        <v>0</v>
      </c>
      <c r="AP1239" s="28">
        <f t="shared" si="197"/>
        <v>0</v>
      </c>
      <c r="AQ1239" s="30" t="s">
        <v>696</v>
      </c>
      <c r="AV1239" s="28">
        <f t="shared" si="198"/>
        <v>0</v>
      </c>
      <c r="AW1239" s="28">
        <f t="shared" si="199"/>
        <v>0</v>
      </c>
      <c r="AX1239" s="28">
        <f t="shared" si="200"/>
        <v>0</v>
      </c>
      <c r="AY1239" s="30" t="s">
        <v>2321</v>
      </c>
      <c r="AZ1239" s="30" t="s">
        <v>2322</v>
      </c>
      <c r="BA1239" s="10" t="s">
        <v>2323</v>
      </c>
      <c r="BC1239" s="28">
        <f t="shared" si="201"/>
        <v>0</v>
      </c>
      <c r="BD1239" s="28">
        <f t="shared" si="202"/>
        <v>0</v>
      </c>
      <c r="BE1239" s="28">
        <v>0</v>
      </c>
      <c r="BF1239" s="28">
        <f>1239</f>
        <v>1239</v>
      </c>
      <c r="BH1239" s="28">
        <f t="shared" si="203"/>
        <v>0</v>
      </c>
      <c r="BI1239" s="28">
        <f t="shared" si="204"/>
        <v>0</v>
      </c>
      <c r="BJ1239" s="28">
        <f t="shared" si="205"/>
        <v>0</v>
      </c>
      <c r="BK1239" s="28"/>
      <c r="BL1239" s="28"/>
      <c r="BO1239" s="28">
        <f t="shared" si="206"/>
        <v>0</v>
      </c>
      <c r="BW1239" s="28">
        <v>21</v>
      </c>
    </row>
    <row r="1240" spans="1:75" x14ac:dyDescent="0.25">
      <c r="H1240" s="144" t="s">
        <v>2360</v>
      </c>
      <c r="I1240" s="144"/>
      <c r="J1240" s="39">
        <f>J13+J19+J22+J39+J44+J47+J50+J55+J61+J84+J86+J90+J116+J119+J137+J144+J147+J151+J157+J230+J272+J292+J344+J359+J366+J392+J402+J408+J411+J437+J465+J470+J507+J517+J666+J682+J685+J730+J786+J798+J801+J811+J819+J822+J827+J837+J841+J857+J865+J872+J878+J883+J896+J904+J907+J913+J937+J962+J983+J1033+J1051+J1057+J1062+J1074+J1085+J1104+J1109+J1112+J1117+J1120+J1123+J1127+J1130+J1139+J1149+J1153+J1159+J1168+J1172+J1179+J1196+J1217+J1226</f>
        <v>0</v>
      </c>
    </row>
    <row r="1241" spans="1:75" x14ac:dyDescent="0.25">
      <c r="A1241" s="40" t="s">
        <v>2361</v>
      </c>
    </row>
    <row r="1242" spans="1:75" ht="243" customHeight="1" x14ac:dyDescent="0.25">
      <c r="A1242" s="83" t="s">
        <v>2362</v>
      </c>
      <c r="B1242" s="80"/>
      <c r="C1242" s="80"/>
      <c r="D1242" s="80"/>
      <c r="E1242" s="80"/>
      <c r="F1242" s="80"/>
      <c r="G1242" s="80"/>
      <c r="H1242" s="80"/>
      <c r="I1242" s="80"/>
      <c r="J1242" s="80"/>
      <c r="K1242" s="80"/>
    </row>
  </sheetData>
  <mergeCells count="611">
    <mergeCell ref="C1237:D1237"/>
    <mergeCell ref="C1238:D1238"/>
    <mergeCell ref="C1239:D1239"/>
    <mergeCell ref="H1240:I1240"/>
    <mergeCell ref="A1242:K1242"/>
    <mergeCell ref="C1232:D1232"/>
    <mergeCell ref="C1233:D1233"/>
    <mergeCell ref="C1234:D1234"/>
    <mergeCell ref="C1235:D1235"/>
    <mergeCell ref="C1236:D1236"/>
    <mergeCell ref="C1227:D1227"/>
    <mergeCell ref="C1228:D1228"/>
    <mergeCell ref="C1229:D1229"/>
    <mergeCell ref="C1230:D1230"/>
    <mergeCell ref="C1231:D1231"/>
    <mergeCell ref="C1222:D1222"/>
    <mergeCell ref="C1223:D1223"/>
    <mergeCell ref="C1224:D1224"/>
    <mergeCell ref="C1225:D1225"/>
    <mergeCell ref="C1226:D1226"/>
    <mergeCell ref="C1217:D1217"/>
    <mergeCell ref="C1218:D1218"/>
    <mergeCell ref="C1219:D1219"/>
    <mergeCell ref="C1220:D1220"/>
    <mergeCell ref="C1221:D1221"/>
    <mergeCell ref="C1212:D1212"/>
    <mergeCell ref="C1213:D1213"/>
    <mergeCell ref="C1214:D1214"/>
    <mergeCell ref="C1215:D1215"/>
    <mergeCell ref="C1216:D1216"/>
    <mergeCell ref="C1207:D1207"/>
    <mergeCell ref="C1208:D1208"/>
    <mergeCell ref="C1209:D1209"/>
    <mergeCell ref="C1210:D1210"/>
    <mergeCell ref="C1211:D1211"/>
    <mergeCell ref="C1202:D1202"/>
    <mergeCell ref="C1203:D1203"/>
    <mergeCell ref="C1204:D1204"/>
    <mergeCell ref="C1205:D1205"/>
    <mergeCell ref="C1206:D1206"/>
    <mergeCell ref="C1197:D1197"/>
    <mergeCell ref="C1198:D1198"/>
    <mergeCell ref="C1199:D1199"/>
    <mergeCell ref="C1200:D1200"/>
    <mergeCell ref="C1201:D1201"/>
    <mergeCell ref="C1192:D1192"/>
    <mergeCell ref="C1193:D1193"/>
    <mergeCell ref="C1194:D1194"/>
    <mergeCell ref="C1195:D1195"/>
    <mergeCell ref="C1196:D1196"/>
    <mergeCell ref="C1187:D1187"/>
    <mergeCell ref="C1188:D1188"/>
    <mergeCell ref="C1189:D1189"/>
    <mergeCell ref="C1190:D1190"/>
    <mergeCell ref="C1191:D1191"/>
    <mergeCell ref="C1180:D1180"/>
    <mergeCell ref="C1182:D1182"/>
    <mergeCell ref="C1183:D1183"/>
    <mergeCell ref="C1184:D1184"/>
    <mergeCell ref="C1186:D1186"/>
    <mergeCell ref="C1175:D1175"/>
    <mergeCell ref="C1176:D1176"/>
    <mergeCell ref="C1177:D1177"/>
    <mergeCell ref="C1178:D1178"/>
    <mergeCell ref="C1179:D1179"/>
    <mergeCell ref="C1169:D1169"/>
    <mergeCell ref="C1170:D1170"/>
    <mergeCell ref="C1171:D1171"/>
    <mergeCell ref="C1172:D1172"/>
    <mergeCell ref="C1173:D1173"/>
    <mergeCell ref="C1164:D1164"/>
    <mergeCell ref="C1165:D1165"/>
    <mergeCell ref="C1166:D1166"/>
    <mergeCell ref="C1167:D1167"/>
    <mergeCell ref="C1168:D1168"/>
    <mergeCell ref="C1159:D1159"/>
    <mergeCell ref="C1160:D1160"/>
    <mergeCell ref="C1161:D1161"/>
    <mergeCell ref="C1162:D1162"/>
    <mergeCell ref="C1163:D1163"/>
    <mergeCell ref="C1154:D1154"/>
    <mergeCell ref="C1155:D1155"/>
    <mergeCell ref="C1156:D1156"/>
    <mergeCell ref="C1157:D1157"/>
    <mergeCell ref="C1158:D1158"/>
    <mergeCell ref="C1149:D1149"/>
    <mergeCell ref="C1150:D1150"/>
    <mergeCell ref="C1151:D1151"/>
    <mergeCell ref="C1152:D1152"/>
    <mergeCell ref="C1153:D1153"/>
    <mergeCell ref="C1144:D1144"/>
    <mergeCell ref="C1145:D1145"/>
    <mergeCell ref="C1146:D1146"/>
    <mergeCell ref="C1147:D1147"/>
    <mergeCell ref="C1148:D1148"/>
    <mergeCell ref="C1139:D1139"/>
    <mergeCell ref="C1140:D1140"/>
    <mergeCell ref="C1141:D1141"/>
    <mergeCell ref="C1142:D1142"/>
    <mergeCell ref="C1143:D1143"/>
    <mergeCell ref="C1132:D1132"/>
    <mergeCell ref="C1133:D1133"/>
    <mergeCell ref="C1134:D1134"/>
    <mergeCell ref="C1136:D1136"/>
    <mergeCell ref="C1137:D1137"/>
    <mergeCell ref="C1127:D1127"/>
    <mergeCell ref="C1128:D1128"/>
    <mergeCell ref="C1129:D1129"/>
    <mergeCell ref="C1130:D1130"/>
    <mergeCell ref="C1131:D1131"/>
    <mergeCell ref="C1120:D1120"/>
    <mergeCell ref="C1121:D1121"/>
    <mergeCell ref="C1123:D1123"/>
    <mergeCell ref="C1124:D1124"/>
    <mergeCell ref="C1126:D1126"/>
    <mergeCell ref="C1112:D1112"/>
    <mergeCell ref="C1113:D1113"/>
    <mergeCell ref="C1115:D1115"/>
    <mergeCell ref="C1117:D1117"/>
    <mergeCell ref="C1118:D1118"/>
    <mergeCell ref="C1106:D1106"/>
    <mergeCell ref="C1107:D1107"/>
    <mergeCell ref="C1108:D1108"/>
    <mergeCell ref="C1109:D1109"/>
    <mergeCell ref="C1110:D1110"/>
    <mergeCell ref="C1101:D1101"/>
    <mergeCell ref="C1102:D1102"/>
    <mergeCell ref="C1103:D1103"/>
    <mergeCell ref="C1104:D1104"/>
    <mergeCell ref="C1105:D1105"/>
    <mergeCell ref="C1096:D1096"/>
    <mergeCell ref="C1097:D1097"/>
    <mergeCell ref="C1098:D1098"/>
    <mergeCell ref="C1099:D1099"/>
    <mergeCell ref="C1100:D1100"/>
    <mergeCell ref="C1091:D1091"/>
    <mergeCell ref="C1092:D1092"/>
    <mergeCell ref="C1093:D1093"/>
    <mergeCell ref="C1094:D1094"/>
    <mergeCell ref="C1095:D1095"/>
    <mergeCell ref="C1086:D1086"/>
    <mergeCell ref="C1087:D1087"/>
    <mergeCell ref="C1088:D1088"/>
    <mergeCell ref="C1089:D1089"/>
    <mergeCell ref="C1090:D1090"/>
    <mergeCell ref="C1081:D1081"/>
    <mergeCell ref="C1082:D1082"/>
    <mergeCell ref="C1083:D1083"/>
    <mergeCell ref="C1084:D1084"/>
    <mergeCell ref="C1085:D1085"/>
    <mergeCell ref="C1076:D1076"/>
    <mergeCell ref="C1077:D1077"/>
    <mergeCell ref="C1078:D1078"/>
    <mergeCell ref="C1079:D1079"/>
    <mergeCell ref="C1080:D1080"/>
    <mergeCell ref="C1071:D1071"/>
    <mergeCell ref="C1072:D1072"/>
    <mergeCell ref="C1073:D1073"/>
    <mergeCell ref="C1074:D1074"/>
    <mergeCell ref="C1075:D1075"/>
    <mergeCell ref="C1066:D1066"/>
    <mergeCell ref="C1067:D1067"/>
    <mergeCell ref="C1068:D1068"/>
    <mergeCell ref="C1069:D1069"/>
    <mergeCell ref="C1070:D1070"/>
    <mergeCell ref="C1061:D1061"/>
    <mergeCell ref="C1062:D1062"/>
    <mergeCell ref="C1063:D1063"/>
    <mergeCell ref="C1064:D1064"/>
    <mergeCell ref="C1065:D1065"/>
    <mergeCell ref="C1056:D1056"/>
    <mergeCell ref="C1057:D1057"/>
    <mergeCell ref="C1058:D1058"/>
    <mergeCell ref="C1059:D1059"/>
    <mergeCell ref="C1060:D1060"/>
    <mergeCell ref="C1051:D1051"/>
    <mergeCell ref="C1052:D1052"/>
    <mergeCell ref="C1053:D1053"/>
    <mergeCell ref="C1054:D1054"/>
    <mergeCell ref="C1055:D1055"/>
    <mergeCell ref="C1042:D1042"/>
    <mergeCell ref="C1044:D1044"/>
    <mergeCell ref="C1046:D1046"/>
    <mergeCell ref="C1048:D1048"/>
    <mergeCell ref="C1050:D1050"/>
    <mergeCell ref="C1033:D1033"/>
    <mergeCell ref="C1034:D1034"/>
    <mergeCell ref="C1036:D1036"/>
    <mergeCell ref="C1038:D1038"/>
    <mergeCell ref="C1040:D1040"/>
    <mergeCell ref="C1024:D1024"/>
    <mergeCell ref="C1026:D1026"/>
    <mergeCell ref="C1028:D1028"/>
    <mergeCell ref="C1030:D1030"/>
    <mergeCell ref="C1031:D1031"/>
    <mergeCell ref="C1014:D1014"/>
    <mergeCell ref="C1016:D1016"/>
    <mergeCell ref="C1018:D1018"/>
    <mergeCell ref="C1020:D1020"/>
    <mergeCell ref="C1022:D1022"/>
    <mergeCell ref="C1004:D1004"/>
    <mergeCell ref="C1006:D1006"/>
    <mergeCell ref="C1008:D1008"/>
    <mergeCell ref="C1010:D1010"/>
    <mergeCell ref="C1012:D1012"/>
    <mergeCell ref="C994:D994"/>
    <mergeCell ref="C996:D996"/>
    <mergeCell ref="C998:D998"/>
    <mergeCell ref="C1000:D1000"/>
    <mergeCell ref="C1002:D1002"/>
    <mergeCell ref="C984:D984"/>
    <mergeCell ref="C986:D986"/>
    <mergeCell ref="C988:D988"/>
    <mergeCell ref="C990:D990"/>
    <mergeCell ref="C992:D992"/>
    <mergeCell ref="C975:D975"/>
    <mergeCell ref="C977:D977"/>
    <mergeCell ref="C979:D979"/>
    <mergeCell ref="C981:D981"/>
    <mergeCell ref="C983:D983"/>
    <mergeCell ref="C965:D965"/>
    <mergeCell ref="C967:D967"/>
    <mergeCell ref="C969:D969"/>
    <mergeCell ref="C971:D971"/>
    <mergeCell ref="C973:D973"/>
    <mergeCell ref="C956:D956"/>
    <mergeCell ref="C958:D958"/>
    <mergeCell ref="C960:D960"/>
    <mergeCell ref="C962:D962"/>
    <mergeCell ref="C963:D963"/>
    <mergeCell ref="C946:D946"/>
    <mergeCell ref="C948:D948"/>
    <mergeCell ref="C950:D950"/>
    <mergeCell ref="C952:D952"/>
    <mergeCell ref="C954:D954"/>
    <mergeCell ref="C937:D937"/>
    <mergeCell ref="C938:D938"/>
    <mergeCell ref="C940:D940"/>
    <mergeCell ref="C942:D942"/>
    <mergeCell ref="C944:D944"/>
    <mergeCell ref="C927:D927"/>
    <mergeCell ref="C929:D929"/>
    <mergeCell ref="C931:D931"/>
    <mergeCell ref="C933:D933"/>
    <mergeCell ref="C935:D935"/>
    <mergeCell ref="C916:D916"/>
    <mergeCell ref="C918:D918"/>
    <mergeCell ref="C920:D920"/>
    <mergeCell ref="C922:D922"/>
    <mergeCell ref="C924:D924"/>
    <mergeCell ref="C907:D907"/>
    <mergeCell ref="C908:D908"/>
    <mergeCell ref="C911:D911"/>
    <mergeCell ref="C913:D913"/>
    <mergeCell ref="C914:D914"/>
    <mergeCell ref="C897:D897"/>
    <mergeCell ref="C899:D899"/>
    <mergeCell ref="C902:D902"/>
    <mergeCell ref="C904:D904"/>
    <mergeCell ref="C905:D905"/>
    <mergeCell ref="C887:D887"/>
    <mergeCell ref="C890:D890"/>
    <mergeCell ref="C892:D892"/>
    <mergeCell ref="C894:D894"/>
    <mergeCell ref="C896:D896"/>
    <mergeCell ref="C878:D878"/>
    <mergeCell ref="C879:D879"/>
    <mergeCell ref="C881:D881"/>
    <mergeCell ref="C883:D883"/>
    <mergeCell ref="C884:D884"/>
    <mergeCell ref="C870:D870"/>
    <mergeCell ref="C872:D872"/>
    <mergeCell ref="C873:D873"/>
    <mergeCell ref="C875:D875"/>
    <mergeCell ref="C877:D877"/>
    <mergeCell ref="C861:D861"/>
    <mergeCell ref="C862:D862"/>
    <mergeCell ref="C865:D865"/>
    <mergeCell ref="C866:D866"/>
    <mergeCell ref="C868:D868"/>
    <mergeCell ref="C848:D848"/>
    <mergeCell ref="C851:D851"/>
    <mergeCell ref="C854:D854"/>
    <mergeCell ref="C857:D857"/>
    <mergeCell ref="C858:D858"/>
    <mergeCell ref="C837:D837"/>
    <mergeCell ref="C838:D838"/>
    <mergeCell ref="C841:D841"/>
    <mergeCell ref="C842:D842"/>
    <mergeCell ref="C845:D845"/>
    <mergeCell ref="C827:D827"/>
    <mergeCell ref="C828:D828"/>
    <mergeCell ref="C831:D831"/>
    <mergeCell ref="C834:D834"/>
    <mergeCell ref="C836:D836"/>
    <mergeCell ref="C820:D820"/>
    <mergeCell ref="C821:D821"/>
    <mergeCell ref="C822:D822"/>
    <mergeCell ref="C823:D823"/>
    <mergeCell ref="C825:D825"/>
    <mergeCell ref="C809:D809"/>
    <mergeCell ref="C811:D811"/>
    <mergeCell ref="C812:D812"/>
    <mergeCell ref="C817:D817"/>
    <mergeCell ref="C819:D819"/>
    <mergeCell ref="C799:D799"/>
    <mergeCell ref="C801:D801"/>
    <mergeCell ref="C802:D802"/>
    <mergeCell ref="C807:D807"/>
    <mergeCell ref="C808:D808"/>
    <mergeCell ref="C789:D789"/>
    <mergeCell ref="C792:D792"/>
    <mergeCell ref="C795:D795"/>
    <mergeCell ref="C796:D796"/>
    <mergeCell ref="C798:D798"/>
    <mergeCell ref="C731:D731"/>
    <mergeCell ref="C735:D735"/>
    <mergeCell ref="C758:D758"/>
    <mergeCell ref="C786:D786"/>
    <mergeCell ref="C787:D787"/>
    <mergeCell ref="C720:D720"/>
    <mergeCell ref="C725:D725"/>
    <mergeCell ref="C727:D727"/>
    <mergeCell ref="C729:D729"/>
    <mergeCell ref="C730:D730"/>
    <mergeCell ref="C695:D695"/>
    <mergeCell ref="C704:D704"/>
    <mergeCell ref="C707:D707"/>
    <mergeCell ref="C716:D716"/>
    <mergeCell ref="C719:D719"/>
    <mergeCell ref="C681:D681"/>
    <mergeCell ref="C682:D682"/>
    <mergeCell ref="C683:D683"/>
    <mergeCell ref="C685:D685"/>
    <mergeCell ref="C686:D686"/>
    <mergeCell ref="C667:D667"/>
    <mergeCell ref="C669:D669"/>
    <mergeCell ref="C672:D672"/>
    <mergeCell ref="C675:D675"/>
    <mergeCell ref="C678:D678"/>
    <mergeCell ref="C659:D659"/>
    <mergeCell ref="C662:D662"/>
    <mergeCell ref="C663:D663"/>
    <mergeCell ref="C665:D665"/>
    <mergeCell ref="C666:D666"/>
    <mergeCell ref="C647:D647"/>
    <mergeCell ref="C649:D649"/>
    <mergeCell ref="C651:D651"/>
    <mergeCell ref="C653:D653"/>
    <mergeCell ref="C656:D656"/>
    <mergeCell ref="C633:D633"/>
    <mergeCell ref="C635:D635"/>
    <mergeCell ref="C638:D638"/>
    <mergeCell ref="C641:D641"/>
    <mergeCell ref="C643:D643"/>
    <mergeCell ref="C617:D617"/>
    <mergeCell ref="C621:D621"/>
    <mergeCell ref="C624:D624"/>
    <mergeCell ref="C626:D626"/>
    <mergeCell ref="C628:D628"/>
    <mergeCell ref="C605:D605"/>
    <mergeCell ref="C608:D608"/>
    <mergeCell ref="C610:D610"/>
    <mergeCell ref="C613:D613"/>
    <mergeCell ref="C615:D615"/>
    <mergeCell ref="C592:D592"/>
    <mergeCell ref="C595:D595"/>
    <mergeCell ref="C598:D598"/>
    <mergeCell ref="C601:D601"/>
    <mergeCell ref="C604:D604"/>
    <mergeCell ref="C577:D577"/>
    <mergeCell ref="C580:D580"/>
    <mergeCell ref="C583:D583"/>
    <mergeCell ref="C586:D586"/>
    <mergeCell ref="C589:D589"/>
    <mergeCell ref="C554:D554"/>
    <mergeCell ref="C558:D558"/>
    <mergeCell ref="C561:D561"/>
    <mergeCell ref="C564:D564"/>
    <mergeCell ref="C567:D567"/>
    <mergeCell ref="C539:D539"/>
    <mergeCell ref="C542:D542"/>
    <mergeCell ref="C545:D545"/>
    <mergeCell ref="C548:D548"/>
    <mergeCell ref="C551:D551"/>
    <mergeCell ref="C518:D518"/>
    <mergeCell ref="C526:D526"/>
    <mergeCell ref="C529:D529"/>
    <mergeCell ref="C532:D532"/>
    <mergeCell ref="C535:D535"/>
    <mergeCell ref="C513:D513"/>
    <mergeCell ref="C514:D514"/>
    <mergeCell ref="C515:D515"/>
    <mergeCell ref="C516:D516"/>
    <mergeCell ref="C517:D517"/>
    <mergeCell ref="C506:D506"/>
    <mergeCell ref="C507:D507"/>
    <mergeCell ref="C508:D508"/>
    <mergeCell ref="C509:D509"/>
    <mergeCell ref="C511:D511"/>
    <mergeCell ref="C497:D497"/>
    <mergeCell ref="C498:D498"/>
    <mergeCell ref="C500:D500"/>
    <mergeCell ref="C502:D502"/>
    <mergeCell ref="C504:D504"/>
    <mergeCell ref="C487:D487"/>
    <mergeCell ref="C489:D489"/>
    <mergeCell ref="C491:D491"/>
    <mergeCell ref="C493:D493"/>
    <mergeCell ref="C495:D495"/>
    <mergeCell ref="C477:D477"/>
    <mergeCell ref="C479:D479"/>
    <mergeCell ref="C481:D481"/>
    <mergeCell ref="C483:D483"/>
    <mergeCell ref="C485:D485"/>
    <mergeCell ref="C469:D469"/>
    <mergeCell ref="C470:D470"/>
    <mergeCell ref="C471:D471"/>
    <mergeCell ref="C473:D473"/>
    <mergeCell ref="C475:D475"/>
    <mergeCell ref="C458:D458"/>
    <mergeCell ref="C461:D461"/>
    <mergeCell ref="C464:D464"/>
    <mergeCell ref="C465:D465"/>
    <mergeCell ref="C466:D466"/>
    <mergeCell ref="C438:D438"/>
    <mergeCell ref="C440:D440"/>
    <mergeCell ref="C443:D443"/>
    <mergeCell ref="C445:D445"/>
    <mergeCell ref="C451:D451"/>
    <mergeCell ref="C428:D428"/>
    <mergeCell ref="C430:D430"/>
    <mergeCell ref="C433:D433"/>
    <mergeCell ref="C436:D436"/>
    <mergeCell ref="C437:D437"/>
    <mergeCell ref="C415:D415"/>
    <mergeCell ref="C419:D419"/>
    <mergeCell ref="C421:D421"/>
    <mergeCell ref="C422:D422"/>
    <mergeCell ref="C424:D424"/>
    <mergeCell ref="C406:D406"/>
    <mergeCell ref="C408:D408"/>
    <mergeCell ref="C409:D409"/>
    <mergeCell ref="C411:D411"/>
    <mergeCell ref="C412:D412"/>
    <mergeCell ref="C398:D398"/>
    <mergeCell ref="C400:D400"/>
    <mergeCell ref="C402:D402"/>
    <mergeCell ref="C403:D403"/>
    <mergeCell ref="C405:D405"/>
    <mergeCell ref="C367:D367"/>
    <mergeCell ref="C377:D377"/>
    <mergeCell ref="C387:D387"/>
    <mergeCell ref="C392:D392"/>
    <mergeCell ref="C393:D393"/>
    <mergeCell ref="C357:D357"/>
    <mergeCell ref="C359:D359"/>
    <mergeCell ref="C360:D360"/>
    <mergeCell ref="C363:D363"/>
    <mergeCell ref="C366:D366"/>
    <mergeCell ref="C347:D347"/>
    <mergeCell ref="C349:D349"/>
    <mergeCell ref="C351:D351"/>
    <mergeCell ref="C353:D353"/>
    <mergeCell ref="C355:D355"/>
    <mergeCell ref="C340:D340"/>
    <mergeCell ref="C341:D341"/>
    <mergeCell ref="C343:D343"/>
    <mergeCell ref="C344:D344"/>
    <mergeCell ref="C345:D345"/>
    <mergeCell ref="C315:D315"/>
    <mergeCell ref="C317:D317"/>
    <mergeCell ref="C319:D319"/>
    <mergeCell ref="C323:D323"/>
    <mergeCell ref="C338:D338"/>
    <mergeCell ref="C292:D292"/>
    <mergeCell ref="C293:D293"/>
    <mergeCell ref="C302:D302"/>
    <mergeCell ref="C311:D311"/>
    <mergeCell ref="C312:D312"/>
    <mergeCell ref="C273:D273"/>
    <mergeCell ref="C278:D278"/>
    <mergeCell ref="C282:D282"/>
    <mergeCell ref="C287:D287"/>
    <mergeCell ref="C290:D290"/>
    <mergeCell ref="C265:D265"/>
    <mergeCell ref="C267:D267"/>
    <mergeCell ref="C269:D269"/>
    <mergeCell ref="C271:D271"/>
    <mergeCell ref="C272:D272"/>
    <mergeCell ref="C246:D246"/>
    <mergeCell ref="C252:D252"/>
    <mergeCell ref="C255:D255"/>
    <mergeCell ref="C260:D260"/>
    <mergeCell ref="C264:D264"/>
    <mergeCell ref="C231:D231"/>
    <mergeCell ref="C238:D238"/>
    <mergeCell ref="C240:D240"/>
    <mergeCell ref="C241:D241"/>
    <mergeCell ref="C243:D243"/>
    <mergeCell ref="C213:D213"/>
    <mergeCell ref="C223:D223"/>
    <mergeCell ref="C227:D227"/>
    <mergeCell ref="C228:D228"/>
    <mergeCell ref="C230:D230"/>
    <mergeCell ref="C173:D173"/>
    <mergeCell ref="C184:D184"/>
    <mergeCell ref="C196:D196"/>
    <mergeCell ref="C197:D197"/>
    <mergeCell ref="C209:D209"/>
    <mergeCell ref="C158:D158"/>
    <mergeCell ref="C161:D161"/>
    <mergeCell ref="C165:D165"/>
    <mergeCell ref="C166:D166"/>
    <mergeCell ref="C168:D168"/>
    <mergeCell ref="C147:D147"/>
    <mergeCell ref="C148:D148"/>
    <mergeCell ref="C151:D151"/>
    <mergeCell ref="C152:D152"/>
    <mergeCell ref="C157:D157"/>
    <mergeCell ref="C137:D137"/>
    <mergeCell ref="C138:D138"/>
    <mergeCell ref="C141:D141"/>
    <mergeCell ref="C144:D144"/>
    <mergeCell ref="C145:D145"/>
    <mergeCell ref="C117:D117"/>
    <mergeCell ref="C119:D119"/>
    <mergeCell ref="C120:D120"/>
    <mergeCell ref="C131:D131"/>
    <mergeCell ref="C134:D134"/>
    <mergeCell ref="C108:D108"/>
    <mergeCell ref="C111:D111"/>
    <mergeCell ref="C113:D113"/>
    <mergeCell ref="C114:D114"/>
    <mergeCell ref="C116:D116"/>
    <mergeCell ref="C87:D87"/>
    <mergeCell ref="C89:D89"/>
    <mergeCell ref="C90:D90"/>
    <mergeCell ref="C91:D91"/>
    <mergeCell ref="C94:D94"/>
    <mergeCell ref="C80:D80"/>
    <mergeCell ref="C82:D82"/>
    <mergeCell ref="C84:D84"/>
    <mergeCell ref="C85:D85"/>
    <mergeCell ref="C86:D86"/>
    <mergeCell ref="C70:D70"/>
    <mergeCell ref="C71:D71"/>
    <mergeCell ref="C72:D72"/>
    <mergeCell ref="C75:D75"/>
    <mergeCell ref="C77:D77"/>
    <mergeCell ref="C57:D57"/>
    <mergeCell ref="C59:D59"/>
    <mergeCell ref="C61:D61"/>
    <mergeCell ref="C62:D62"/>
    <mergeCell ref="C64:D64"/>
    <mergeCell ref="C50:D50"/>
    <mergeCell ref="C51:D51"/>
    <mergeCell ref="C53:D53"/>
    <mergeCell ref="C55:D55"/>
    <mergeCell ref="C56:D56"/>
    <mergeCell ref="C44:D44"/>
    <mergeCell ref="C45:D45"/>
    <mergeCell ref="C46:D46"/>
    <mergeCell ref="C47:D47"/>
    <mergeCell ref="C48:D48"/>
    <mergeCell ref="C37:D37"/>
    <mergeCell ref="C39:D39"/>
    <mergeCell ref="C40:D40"/>
    <mergeCell ref="C42:D42"/>
    <mergeCell ref="C43:D43"/>
    <mergeCell ref="C25:D25"/>
    <mergeCell ref="C27:D27"/>
    <mergeCell ref="C29:D29"/>
    <mergeCell ref="C31:D31"/>
    <mergeCell ref="C35:D35"/>
    <mergeCell ref="C17:D17"/>
    <mergeCell ref="C19:D19"/>
    <mergeCell ref="C20:D20"/>
    <mergeCell ref="C22:D22"/>
    <mergeCell ref="C23:D23"/>
    <mergeCell ref="C11:D11"/>
    <mergeCell ref="H10:J10"/>
    <mergeCell ref="C12:D12"/>
    <mergeCell ref="C13:D13"/>
    <mergeCell ref="C14:D14"/>
    <mergeCell ref="I2:K3"/>
    <mergeCell ref="I4:K5"/>
    <mergeCell ref="I6:K7"/>
    <mergeCell ref="I8:K9"/>
    <mergeCell ref="C10:D10"/>
    <mergeCell ref="C8:D9"/>
    <mergeCell ref="G2:G3"/>
    <mergeCell ref="G4:G5"/>
    <mergeCell ref="G6:G7"/>
    <mergeCell ref="G8:G9"/>
    <mergeCell ref="A1:K1"/>
    <mergeCell ref="A2:B3"/>
    <mergeCell ref="A4:B5"/>
    <mergeCell ref="A6:B7"/>
    <mergeCell ref="A8:B9"/>
    <mergeCell ref="E2:F3"/>
    <mergeCell ref="E4:F5"/>
    <mergeCell ref="E6:F7"/>
    <mergeCell ref="E8:F9"/>
    <mergeCell ref="H2:H3"/>
    <mergeCell ref="H4:H5"/>
    <mergeCell ref="H6:H7"/>
    <mergeCell ref="H8:H9"/>
    <mergeCell ref="C2:D3"/>
    <mergeCell ref="C4:D5"/>
    <mergeCell ref="C6:D7"/>
  </mergeCells>
  <pageMargins left="0.393999993801117" right="0.393999993801117" top="0.59100002050399802" bottom="0.59100002050399802" header="0" footer="0"/>
  <pageSetup scale="68"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I45"/>
  <sheetViews>
    <sheetView workbookViewId="0">
      <selection activeCell="A45" sqref="A45:E45"/>
    </sheetView>
  </sheetViews>
  <sheetFormatPr defaultColWidth="12.140625" defaultRowHeight="15" customHeight="1" x14ac:dyDescent="0.25"/>
  <cols>
    <col min="1" max="1" width="9.140625" customWidth="1"/>
    <col min="2" max="2" width="12.85546875" customWidth="1"/>
    <col min="3" max="3" width="22.85546875" customWidth="1"/>
    <col min="4" max="4" width="10" customWidth="1"/>
    <col min="5" max="5" width="14" customWidth="1"/>
    <col min="6" max="6" width="22.85546875" customWidth="1"/>
    <col min="7" max="7" width="9.140625" customWidth="1"/>
    <col min="8" max="8" width="17.140625" customWidth="1"/>
    <col min="9" max="9" width="22.85546875" customWidth="1"/>
  </cols>
  <sheetData>
    <row r="1" spans="1:9" ht="54.75" customHeight="1" x14ac:dyDescent="0.25">
      <c r="A1" s="75" t="s">
        <v>2415</v>
      </c>
      <c r="B1" s="76"/>
      <c r="C1" s="76"/>
      <c r="D1" s="76"/>
      <c r="E1" s="76"/>
      <c r="F1" s="76"/>
      <c r="G1" s="76"/>
      <c r="H1" s="76"/>
      <c r="I1" s="76"/>
    </row>
    <row r="2" spans="1:9" x14ac:dyDescent="0.25">
      <c r="A2" s="77" t="s">
        <v>1</v>
      </c>
      <c r="B2" s="78"/>
      <c r="C2" s="87" t="str">
        <f>'Stavební rozpočet'!C2</f>
        <v>"Autodílna - SAKO Brno, a.s., Černovická 15"</v>
      </c>
      <c r="D2" s="88"/>
      <c r="E2" s="82" t="s">
        <v>5</v>
      </c>
      <c r="F2" s="82" t="str">
        <f>'Stavební rozpočet'!I2</f>
        <v>SAKO Brno, a.s., Jedovnická 4247/2, Židenice, 628</v>
      </c>
      <c r="G2" s="78"/>
      <c r="H2" s="82" t="s">
        <v>2371</v>
      </c>
      <c r="I2" s="84" t="s">
        <v>2372</v>
      </c>
    </row>
    <row r="3" spans="1:9" ht="15" customHeight="1" x14ac:dyDescent="0.25">
      <c r="A3" s="79"/>
      <c r="B3" s="80"/>
      <c r="C3" s="89"/>
      <c r="D3" s="89"/>
      <c r="E3" s="80"/>
      <c r="F3" s="80"/>
      <c r="G3" s="80"/>
      <c r="H3" s="80"/>
      <c r="I3" s="85"/>
    </row>
    <row r="4" spans="1:9" x14ac:dyDescent="0.25">
      <c r="A4" s="81" t="s">
        <v>7</v>
      </c>
      <c r="B4" s="80"/>
      <c r="C4" s="83" t="str">
        <f>'Stavební rozpočet'!C4</f>
        <v>Skladovací hala - autodílna</v>
      </c>
      <c r="D4" s="80"/>
      <c r="E4" s="83" t="s">
        <v>11</v>
      </c>
      <c r="F4" s="83" t="str">
        <f>'Stavební rozpočet'!I4</f>
        <v>GARANT projekt s.r.o.,</v>
      </c>
      <c r="G4" s="80"/>
      <c r="H4" s="83" t="s">
        <v>2371</v>
      </c>
      <c r="I4" s="85" t="s">
        <v>2373</v>
      </c>
    </row>
    <row r="5" spans="1:9" ht="15" customHeight="1" x14ac:dyDescent="0.25">
      <c r="A5" s="79"/>
      <c r="B5" s="80"/>
      <c r="C5" s="80"/>
      <c r="D5" s="80"/>
      <c r="E5" s="80"/>
      <c r="F5" s="80"/>
      <c r="G5" s="80"/>
      <c r="H5" s="80"/>
      <c r="I5" s="85"/>
    </row>
    <row r="6" spans="1:9" x14ac:dyDescent="0.25">
      <c r="A6" s="81" t="s">
        <v>13</v>
      </c>
      <c r="B6" s="80"/>
      <c r="C6" s="83" t="str">
        <f>'Stavební rozpočet'!C6</f>
        <v>SAKO Brno, Černovická 454/15, Komárov, 617 00 Brno Jih</v>
      </c>
      <c r="D6" s="80"/>
      <c r="E6" s="83" t="s">
        <v>16</v>
      </c>
      <c r="F6" s="83" t="str">
        <f>'Stavební rozpočet'!I6</f>
        <v>-</v>
      </c>
      <c r="G6" s="80"/>
      <c r="H6" s="83" t="s">
        <v>2371</v>
      </c>
      <c r="I6" s="85" t="s">
        <v>52</v>
      </c>
    </row>
    <row r="7" spans="1:9" ht="15" customHeight="1" x14ac:dyDescent="0.25">
      <c r="A7" s="79"/>
      <c r="B7" s="80"/>
      <c r="C7" s="80"/>
      <c r="D7" s="80"/>
      <c r="E7" s="80"/>
      <c r="F7" s="80"/>
      <c r="G7" s="80"/>
      <c r="H7" s="80"/>
      <c r="I7" s="85"/>
    </row>
    <row r="8" spans="1:9" x14ac:dyDescent="0.25">
      <c r="A8" s="81" t="s">
        <v>9</v>
      </c>
      <c r="B8" s="80"/>
      <c r="C8" s="83" t="str">
        <f>'Stavební rozpočet'!G4</f>
        <v>01.10.2024</v>
      </c>
      <c r="D8" s="80"/>
      <c r="E8" s="83" t="s">
        <v>15</v>
      </c>
      <c r="F8" s="83" t="str">
        <f>'Stavební rozpočet'!G6</f>
        <v xml:space="preserve"> </v>
      </c>
      <c r="G8" s="80"/>
      <c r="H8" s="80" t="s">
        <v>2374</v>
      </c>
      <c r="I8" s="86">
        <v>489</v>
      </c>
    </row>
    <row r="9" spans="1:9" x14ac:dyDescent="0.25">
      <c r="A9" s="79"/>
      <c r="B9" s="80"/>
      <c r="C9" s="80"/>
      <c r="D9" s="80"/>
      <c r="E9" s="80"/>
      <c r="F9" s="80"/>
      <c r="G9" s="80"/>
      <c r="H9" s="80"/>
      <c r="I9" s="85"/>
    </row>
    <row r="10" spans="1:9" x14ac:dyDescent="0.25">
      <c r="A10" s="81" t="s">
        <v>18</v>
      </c>
      <c r="B10" s="80"/>
      <c r="C10" s="83" t="str">
        <f>'Stavební rozpočet'!C8</f>
        <v>8115171</v>
      </c>
      <c r="D10" s="80"/>
      <c r="E10" s="83" t="s">
        <v>22</v>
      </c>
      <c r="F10" s="83" t="str">
        <f>'Stavební rozpočet'!I8</f>
        <v>GARANT projekt s.r.o.,</v>
      </c>
      <c r="G10" s="80"/>
      <c r="H10" s="80" t="s">
        <v>2375</v>
      </c>
      <c r="I10" s="91" t="str">
        <f>'Stavební rozpočet'!G8</f>
        <v>20.08.2024</v>
      </c>
    </row>
    <row r="11" spans="1:9" x14ac:dyDescent="0.25">
      <c r="A11" s="96"/>
      <c r="B11" s="90"/>
      <c r="C11" s="90"/>
      <c r="D11" s="90"/>
      <c r="E11" s="90"/>
      <c r="F11" s="90"/>
      <c r="G11" s="90"/>
      <c r="H11" s="90"/>
      <c r="I11" s="92"/>
    </row>
    <row r="13" spans="1:9" ht="15.75" x14ac:dyDescent="0.25">
      <c r="A13" s="145" t="s">
        <v>2416</v>
      </c>
      <c r="B13" s="145"/>
      <c r="C13" s="145"/>
      <c r="D13" s="145"/>
      <c r="E13" s="145"/>
    </row>
    <row r="14" spans="1:9" x14ac:dyDescent="0.25">
      <c r="A14" s="146" t="s">
        <v>2417</v>
      </c>
      <c r="B14" s="147"/>
      <c r="C14" s="147"/>
      <c r="D14" s="147"/>
      <c r="E14" s="148"/>
      <c r="F14" s="61" t="s">
        <v>2418</v>
      </c>
      <c r="G14" s="61" t="s">
        <v>2419</v>
      </c>
      <c r="H14" s="61" t="s">
        <v>2420</v>
      </c>
      <c r="I14" s="61" t="s">
        <v>2418</v>
      </c>
    </row>
    <row r="15" spans="1:9" x14ac:dyDescent="0.25">
      <c r="A15" s="149" t="s">
        <v>2385</v>
      </c>
      <c r="B15" s="150"/>
      <c r="C15" s="150"/>
      <c r="D15" s="150"/>
      <c r="E15" s="151"/>
      <c r="F15" s="62">
        <v>0</v>
      </c>
      <c r="G15" s="63" t="s">
        <v>52</v>
      </c>
      <c r="H15" s="63" t="s">
        <v>52</v>
      </c>
      <c r="I15" s="62">
        <f>F15</f>
        <v>0</v>
      </c>
    </row>
    <row r="16" spans="1:9" x14ac:dyDescent="0.25">
      <c r="A16" s="149" t="s">
        <v>2387</v>
      </c>
      <c r="B16" s="150"/>
      <c r="C16" s="150"/>
      <c r="D16" s="150"/>
      <c r="E16" s="151"/>
      <c r="F16" s="62">
        <v>0</v>
      </c>
      <c r="G16" s="63" t="s">
        <v>52</v>
      </c>
      <c r="H16" s="63" t="s">
        <v>52</v>
      </c>
      <c r="I16" s="62">
        <f>F16</f>
        <v>0</v>
      </c>
    </row>
    <row r="17" spans="1:9" x14ac:dyDescent="0.25">
      <c r="A17" s="152" t="s">
        <v>2390</v>
      </c>
      <c r="B17" s="153"/>
      <c r="C17" s="153"/>
      <c r="D17" s="153"/>
      <c r="E17" s="154"/>
      <c r="F17" s="64">
        <v>0</v>
      </c>
      <c r="G17" s="65" t="s">
        <v>52</v>
      </c>
      <c r="H17" s="65" t="s">
        <v>52</v>
      </c>
      <c r="I17" s="64">
        <f>F17</f>
        <v>0</v>
      </c>
    </row>
    <row r="18" spans="1:9" x14ac:dyDescent="0.25">
      <c r="A18" s="155" t="s">
        <v>2421</v>
      </c>
      <c r="B18" s="156"/>
      <c r="C18" s="156"/>
      <c r="D18" s="156"/>
      <c r="E18" s="157"/>
      <c r="F18" s="66" t="s">
        <v>52</v>
      </c>
      <c r="G18" s="67" t="s">
        <v>52</v>
      </c>
      <c r="H18" s="67" t="s">
        <v>52</v>
      </c>
      <c r="I18" s="68">
        <f>SUM(I15:I17)</f>
        <v>0</v>
      </c>
    </row>
    <row r="20" spans="1:9" x14ac:dyDescent="0.25">
      <c r="A20" s="146" t="s">
        <v>2382</v>
      </c>
      <c r="B20" s="147"/>
      <c r="C20" s="147"/>
      <c r="D20" s="147"/>
      <c r="E20" s="148"/>
      <c r="F20" s="61" t="s">
        <v>2418</v>
      </c>
      <c r="G20" s="61" t="s">
        <v>2419</v>
      </c>
      <c r="H20" s="61" t="s">
        <v>2420</v>
      </c>
      <c r="I20" s="61" t="s">
        <v>2418</v>
      </c>
    </row>
    <row r="21" spans="1:9" x14ac:dyDescent="0.25">
      <c r="A21" s="149" t="s">
        <v>2386</v>
      </c>
      <c r="B21" s="150"/>
      <c r="C21" s="150"/>
      <c r="D21" s="150"/>
      <c r="E21" s="151"/>
      <c r="F21" s="62">
        <v>0</v>
      </c>
      <c r="G21" s="63" t="s">
        <v>52</v>
      </c>
      <c r="H21" s="63" t="s">
        <v>52</v>
      </c>
      <c r="I21" s="62">
        <f t="shared" ref="I21:I26" si="0">F21</f>
        <v>0</v>
      </c>
    </row>
    <row r="22" spans="1:9" x14ac:dyDescent="0.25">
      <c r="A22" s="149" t="s">
        <v>2388</v>
      </c>
      <c r="B22" s="150"/>
      <c r="C22" s="150"/>
      <c r="D22" s="150"/>
      <c r="E22" s="151"/>
      <c r="F22" s="62">
        <v>0</v>
      </c>
      <c r="G22" s="63" t="s">
        <v>52</v>
      </c>
      <c r="H22" s="63" t="s">
        <v>52</v>
      </c>
      <c r="I22" s="62">
        <f t="shared" si="0"/>
        <v>0</v>
      </c>
    </row>
    <row r="23" spans="1:9" x14ac:dyDescent="0.25">
      <c r="A23" s="149" t="s">
        <v>2391</v>
      </c>
      <c r="B23" s="150"/>
      <c r="C23" s="150"/>
      <c r="D23" s="150"/>
      <c r="E23" s="151"/>
      <c r="F23" s="62">
        <v>0</v>
      </c>
      <c r="G23" s="63" t="s">
        <v>52</v>
      </c>
      <c r="H23" s="63" t="s">
        <v>52</v>
      </c>
      <c r="I23" s="62">
        <f t="shared" si="0"/>
        <v>0</v>
      </c>
    </row>
    <row r="24" spans="1:9" x14ac:dyDescent="0.25">
      <c r="A24" s="149" t="s">
        <v>2392</v>
      </c>
      <c r="B24" s="150"/>
      <c r="C24" s="150"/>
      <c r="D24" s="150"/>
      <c r="E24" s="151"/>
      <c r="F24" s="62">
        <v>0</v>
      </c>
      <c r="G24" s="63" t="s">
        <v>52</v>
      </c>
      <c r="H24" s="63" t="s">
        <v>52</v>
      </c>
      <c r="I24" s="62">
        <f t="shared" si="0"/>
        <v>0</v>
      </c>
    </row>
    <row r="25" spans="1:9" x14ac:dyDescent="0.25">
      <c r="A25" s="149" t="s">
        <v>1598</v>
      </c>
      <c r="B25" s="150"/>
      <c r="C25" s="150"/>
      <c r="D25" s="150"/>
      <c r="E25" s="151"/>
      <c r="F25" s="62">
        <v>0</v>
      </c>
      <c r="G25" s="63" t="s">
        <v>52</v>
      </c>
      <c r="H25" s="63" t="s">
        <v>52</v>
      </c>
      <c r="I25" s="62">
        <f t="shared" si="0"/>
        <v>0</v>
      </c>
    </row>
    <row r="26" spans="1:9" x14ac:dyDescent="0.25">
      <c r="A26" s="152" t="s">
        <v>2394</v>
      </c>
      <c r="B26" s="153"/>
      <c r="C26" s="153"/>
      <c r="D26" s="153"/>
      <c r="E26" s="154"/>
      <c r="F26" s="64">
        <v>0</v>
      </c>
      <c r="G26" s="65" t="s">
        <v>52</v>
      </c>
      <c r="H26" s="65" t="s">
        <v>52</v>
      </c>
      <c r="I26" s="64">
        <f t="shared" si="0"/>
        <v>0</v>
      </c>
    </row>
    <row r="27" spans="1:9" x14ac:dyDescent="0.25">
      <c r="A27" s="155" t="s">
        <v>2422</v>
      </c>
      <c r="B27" s="156"/>
      <c r="C27" s="156"/>
      <c r="D27" s="156"/>
      <c r="E27" s="157"/>
      <c r="F27" s="66" t="s">
        <v>52</v>
      </c>
      <c r="G27" s="67" t="s">
        <v>52</v>
      </c>
      <c r="H27" s="67" t="s">
        <v>52</v>
      </c>
      <c r="I27" s="68">
        <f>SUM(I21:I26)</f>
        <v>0</v>
      </c>
    </row>
    <row r="29" spans="1:9" ht="15.75" x14ac:dyDescent="0.25">
      <c r="A29" s="158" t="s">
        <v>2423</v>
      </c>
      <c r="B29" s="159"/>
      <c r="C29" s="159"/>
      <c r="D29" s="159"/>
      <c r="E29" s="160"/>
      <c r="F29" s="161">
        <f>I18+I27</f>
        <v>0</v>
      </c>
      <c r="G29" s="162"/>
      <c r="H29" s="162"/>
      <c r="I29" s="163"/>
    </row>
    <row r="33" spans="1:9" ht="15.75" x14ac:dyDescent="0.25">
      <c r="A33" s="145" t="s">
        <v>2424</v>
      </c>
      <c r="B33" s="145"/>
      <c r="C33" s="145"/>
      <c r="D33" s="145"/>
      <c r="E33" s="145"/>
    </row>
    <row r="34" spans="1:9" x14ac:dyDescent="0.25">
      <c r="A34" s="146" t="s">
        <v>2425</v>
      </c>
      <c r="B34" s="147"/>
      <c r="C34" s="147"/>
      <c r="D34" s="147"/>
      <c r="E34" s="148"/>
      <c r="F34" s="61" t="s">
        <v>2418</v>
      </c>
      <c r="G34" s="61" t="s">
        <v>2419</v>
      </c>
      <c r="H34" s="61" t="s">
        <v>2420</v>
      </c>
      <c r="I34" s="61" t="s">
        <v>2418</v>
      </c>
    </row>
    <row r="35" spans="1:9" x14ac:dyDescent="0.25">
      <c r="A35" s="149" t="s">
        <v>2426</v>
      </c>
      <c r="B35" s="150"/>
      <c r="C35" s="150"/>
      <c r="D35" s="150"/>
      <c r="E35" s="151"/>
      <c r="F35" s="62">
        <f>SUM('Stavební rozpočet'!BM12:BM1239)</f>
        <v>0</v>
      </c>
      <c r="G35" s="63" t="s">
        <v>52</v>
      </c>
      <c r="H35" s="63" t="s">
        <v>52</v>
      </c>
      <c r="I35" s="62">
        <f t="shared" ref="I35:I44" si="1">F35</f>
        <v>0</v>
      </c>
    </row>
    <row r="36" spans="1:9" x14ac:dyDescent="0.25">
      <c r="A36" s="149" t="s">
        <v>2427</v>
      </c>
      <c r="B36" s="150"/>
      <c r="C36" s="150"/>
      <c r="D36" s="150"/>
      <c r="E36" s="151"/>
      <c r="F36" s="62">
        <f>SUM('Stavební rozpočet'!BN12:BN1239)</f>
        <v>0</v>
      </c>
      <c r="G36" s="63" t="s">
        <v>52</v>
      </c>
      <c r="H36" s="63" t="s">
        <v>52</v>
      </c>
      <c r="I36" s="62">
        <f t="shared" si="1"/>
        <v>0</v>
      </c>
    </row>
    <row r="37" spans="1:9" x14ac:dyDescent="0.25">
      <c r="A37" s="149" t="s">
        <v>2386</v>
      </c>
      <c r="B37" s="150"/>
      <c r="C37" s="150"/>
      <c r="D37" s="150"/>
      <c r="E37" s="151"/>
      <c r="F37" s="62">
        <f>SUM('Stavební rozpočet'!BO12:BO1239)</f>
        <v>0</v>
      </c>
      <c r="G37" s="63" t="s">
        <v>52</v>
      </c>
      <c r="H37" s="63" t="s">
        <v>52</v>
      </c>
      <c r="I37" s="62">
        <f t="shared" si="1"/>
        <v>0</v>
      </c>
    </row>
    <row r="38" spans="1:9" x14ac:dyDescent="0.25">
      <c r="A38" s="149" t="s">
        <v>2428</v>
      </c>
      <c r="B38" s="150"/>
      <c r="C38" s="150"/>
      <c r="D38" s="150"/>
      <c r="E38" s="151"/>
      <c r="F38" s="62">
        <f>SUM('Stavební rozpočet'!BP12:BP1239)</f>
        <v>0</v>
      </c>
      <c r="G38" s="63" t="s">
        <v>52</v>
      </c>
      <c r="H38" s="63" t="s">
        <v>52</v>
      </c>
      <c r="I38" s="62">
        <f t="shared" si="1"/>
        <v>0</v>
      </c>
    </row>
    <row r="39" spans="1:9" x14ac:dyDescent="0.25">
      <c r="A39" s="149" t="s">
        <v>2429</v>
      </c>
      <c r="B39" s="150"/>
      <c r="C39" s="150"/>
      <c r="D39" s="150"/>
      <c r="E39" s="151"/>
      <c r="F39" s="62">
        <f>SUM('Stavební rozpočet'!BQ12:BQ1239)</f>
        <v>0</v>
      </c>
      <c r="G39" s="63" t="s">
        <v>52</v>
      </c>
      <c r="H39" s="63" t="s">
        <v>52</v>
      </c>
      <c r="I39" s="62">
        <f t="shared" si="1"/>
        <v>0</v>
      </c>
    </row>
    <row r="40" spans="1:9" x14ac:dyDescent="0.25">
      <c r="A40" s="149" t="s">
        <v>2391</v>
      </c>
      <c r="B40" s="150"/>
      <c r="C40" s="150"/>
      <c r="D40" s="150"/>
      <c r="E40" s="151"/>
      <c r="F40" s="62">
        <f>SUM('Stavební rozpočet'!BR12:BR1239)</f>
        <v>0</v>
      </c>
      <c r="G40" s="63" t="s">
        <v>52</v>
      </c>
      <c r="H40" s="63" t="s">
        <v>52</v>
      </c>
      <c r="I40" s="62">
        <f t="shared" si="1"/>
        <v>0</v>
      </c>
    </row>
    <row r="41" spans="1:9" x14ac:dyDescent="0.25">
      <c r="A41" s="149" t="s">
        <v>2392</v>
      </c>
      <c r="B41" s="150"/>
      <c r="C41" s="150"/>
      <c r="D41" s="150"/>
      <c r="E41" s="151"/>
      <c r="F41" s="62">
        <f>SUM('Stavební rozpočet'!BS12:BS1239)</f>
        <v>0</v>
      </c>
      <c r="G41" s="63" t="s">
        <v>52</v>
      </c>
      <c r="H41" s="63" t="s">
        <v>52</v>
      </c>
      <c r="I41" s="62">
        <f t="shared" si="1"/>
        <v>0</v>
      </c>
    </row>
    <row r="42" spans="1:9" x14ac:dyDescent="0.25">
      <c r="A42" s="149" t="s">
        <v>2430</v>
      </c>
      <c r="B42" s="150"/>
      <c r="C42" s="150"/>
      <c r="D42" s="150"/>
      <c r="E42" s="151"/>
      <c r="F42" s="62">
        <f>SUM('Stavební rozpočet'!BT12:BT1239)</f>
        <v>0</v>
      </c>
      <c r="G42" s="63" t="s">
        <v>52</v>
      </c>
      <c r="H42" s="63" t="s">
        <v>52</v>
      </c>
      <c r="I42" s="62">
        <f t="shared" si="1"/>
        <v>0</v>
      </c>
    </row>
    <row r="43" spans="1:9" x14ac:dyDescent="0.25">
      <c r="A43" s="149" t="s">
        <v>2431</v>
      </c>
      <c r="B43" s="150"/>
      <c r="C43" s="150"/>
      <c r="D43" s="150"/>
      <c r="E43" s="151"/>
      <c r="F43" s="62">
        <f>SUM('Stavební rozpočet'!BU12:BU1239)</f>
        <v>0</v>
      </c>
      <c r="G43" s="63" t="s">
        <v>52</v>
      </c>
      <c r="H43" s="63" t="s">
        <v>52</v>
      </c>
      <c r="I43" s="62">
        <f t="shared" si="1"/>
        <v>0</v>
      </c>
    </row>
    <row r="44" spans="1:9" x14ac:dyDescent="0.25">
      <c r="A44" s="152" t="s">
        <v>2432</v>
      </c>
      <c r="B44" s="153"/>
      <c r="C44" s="153"/>
      <c r="D44" s="153"/>
      <c r="E44" s="154"/>
      <c r="F44" s="64">
        <f>SUM('Stavební rozpočet'!BV12:BV1239)</f>
        <v>0</v>
      </c>
      <c r="G44" s="65" t="s">
        <v>52</v>
      </c>
      <c r="H44" s="65" t="s">
        <v>52</v>
      </c>
      <c r="I44" s="64">
        <f t="shared" si="1"/>
        <v>0</v>
      </c>
    </row>
    <row r="45" spans="1:9" x14ac:dyDescent="0.25">
      <c r="A45" s="155" t="s">
        <v>2433</v>
      </c>
      <c r="B45" s="156"/>
      <c r="C45" s="156"/>
      <c r="D45" s="156"/>
      <c r="E45" s="157"/>
      <c r="F45" s="66" t="s">
        <v>52</v>
      </c>
      <c r="G45" s="67" t="s">
        <v>52</v>
      </c>
      <c r="H45" s="67" t="s">
        <v>52</v>
      </c>
      <c r="I45" s="68">
        <f>SUM(I35:I44)</f>
        <v>0</v>
      </c>
    </row>
  </sheetData>
  <mergeCells count="60">
    <mergeCell ref="A41:E41"/>
    <mergeCell ref="A42:E42"/>
    <mergeCell ref="A43:E43"/>
    <mergeCell ref="A44:E44"/>
    <mergeCell ref="A45:E45"/>
    <mergeCell ref="A36:E36"/>
    <mergeCell ref="A37:E37"/>
    <mergeCell ref="A38:E38"/>
    <mergeCell ref="A39:E39"/>
    <mergeCell ref="A40:E40"/>
    <mergeCell ref="A29:E29"/>
    <mergeCell ref="F29:I29"/>
    <mergeCell ref="A33:E33"/>
    <mergeCell ref="A34:E34"/>
    <mergeCell ref="A35:E35"/>
    <mergeCell ref="A23:E23"/>
    <mergeCell ref="A24:E24"/>
    <mergeCell ref="A25:E25"/>
    <mergeCell ref="A26:E26"/>
    <mergeCell ref="A27:E27"/>
    <mergeCell ref="A17:E17"/>
    <mergeCell ref="A18:E18"/>
    <mergeCell ref="A20:E20"/>
    <mergeCell ref="A21:E21"/>
    <mergeCell ref="A22:E22"/>
    <mergeCell ref="I10:I11"/>
    <mergeCell ref="A13:E13"/>
    <mergeCell ref="A14:E14"/>
    <mergeCell ref="A15:E15"/>
    <mergeCell ref="A16:E16"/>
    <mergeCell ref="H10:H11"/>
    <mergeCell ref="A10:B11"/>
    <mergeCell ref="C2:D3"/>
    <mergeCell ref="C4:D5"/>
    <mergeCell ref="C6:D7"/>
    <mergeCell ref="C8:D9"/>
    <mergeCell ref="C10:D11"/>
    <mergeCell ref="E8:E9"/>
    <mergeCell ref="E10:E11"/>
    <mergeCell ref="F2:G3"/>
    <mergeCell ref="F4:G5"/>
    <mergeCell ref="F6:G7"/>
    <mergeCell ref="F8:G9"/>
    <mergeCell ref="F10:G11"/>
    <mergeCell ref="A1:I1"/>
    <mergeCell ref="A2:B3"/>
    <mergeCell ref="A4:B5"/>
    <mergeCell ref="A6:B7"/>
    <mergeCell ref="A8:B9"/>
    <mergeCell ref="H2:H3"/>
    <mergeCell ref="H4:H5"/>
    <mergeCell ref="H6:H7"/>
    <mergeCell ref="H8:H9"/>
    <mergeCell ref="I2:I3"/>
    <mergeCell ref="I4:I5"/>
    <mergeCell ref="I6:I7"/>
    <mergeCell ref="I8:I9"/>
    <mergeCell ref="E2:E3"/>
    <mergeCell ref="E4:E5"/>
    <mergeCell ref="E6:E7"/>
  </mergeCells>
  <pageMargins left="0.393999993801117" right="0.393999993801117" top="0.59100002050399802" bottom="0.59100002050399802" header="0" footer="0"/>
  <pageSetup fitToHeight="0" orientation="landscape"/>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1</vt:i4>
      </vt:variant>
    </vt:vector>
  </HeadingPairs>
  <TitlesOfParts>
    <vt:vector size="5" baseType="lpstr">
      <vt:lpstr>Krycí list rozpočtu</vt:lpstr>
      <vt:lpstr>Stavební rozpočet - součet</vt:lpstr>
      <vt:lpstr>Stavební rozpočet</vt:lpstr>
      <vt:lpstr>VORN</vt:lpstr>
      <vt:lpstr>vorn_sum</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HP</dc:creator>
  <cp:lastModifiedBy>Stan S</cp:lastModifiedBy>
  <cp:lastPrinted>2024-08-29T15:16:50Z</cp:lastPrinted>
  <dcterms:created xsi:type="dcterms:W3CDTF">2021-06-10T20:06:38Z</dcterms:created>
  <dcterms:modified xsi:type="dcterms:W3CDTF">2024-08-29T15:17:22Z</dcterms:modified>
</cp:coreProperties>
</file>